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5865" windowHeight="3210" activeTab="0"/>
  </bookViews>
  <sheets>
    <sheet name="Hoja1" sheetId="1" r:id="rId1"/>
    <sheet name="Hoja2" sheetId="2" r:id="rId2"/>
    <sheet name="Hoja3" sheetId="3" r:id="rId3"/>
  </sheets>
  <externalReferences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<sst xmlns="http://schemas.openxmlformats.org/spreadsheetml/2006/main" count="260" uniqueCount="168">
  <si>
    <t>REMUNERACIONES</t>
  </si>
  <si>
    <t>001</t>
  </si>
  <si>
    <t>SUELDOS PARA CARGOS FIJOS</t>
  </si>
  <si>
    <t>SERVICIOS ESPECIALES</t>
  </si>
  <si>
    <t>SUPLENCIAS</t>
  </si>
  <si>
    <t>002</t>
  </si>
  <si>
    <t>REMUNERACIONES EVENTUALES</t>
  </si>
  <si>
    <t>DISPONIBILIDAD LABORAL</t>
  </si>
  <si>
    <t>003</t>
  </si>
  <si>
    <t>INCENTIVOS SALARIALES</t>
  </si>
  <si>
    <t>RETRIBUCION POR AÑOS SERVIDOS</t>
  </si>
  <si>
    <t>DECIMO TERCER MES</t>
  </si>
  <si>
    <t>SALARIO ESCOLAR</t>
  </si>
  <si>
    <t>OTROS INCENTIVOS SALARIALES</t>
  </si>
  <si>
    <t>004</t>
  </si>
  <si>
    <t>005</t>
  </si>
  <si>
    <t>099</t>
  </si>
  <si>
    <t>REMUNERACIONES DIVERSAS</t>
  </si>
  <si>
    <t>GASTOS DE REPRESENTACION PERSONAL</t>
  </si>
  <si>
    <t xml:space="preserve">SERVICIOS                </t>
  </si>
  <si>
    <t>ALQUILERES</t>
  </si>
  <si>
    <t>ALQUILER DE EQUIPO DE COMPUTO</t>
  </si>
  <si>
    <t>OTROS ALQUILERES</t>
  </si>
  <si>
    <t>SERVICIOS BASICOS</t>
  </si>
  <si>
    <t>SERVICIO DE AGUA Y ALCANTARILLADO</t>
  </si>
  <si>
    <t>SERVICIO DE ENERGIA ELECTRICA</t>
  </si>
  <si>
    <t>SERVICIO DE CORREO</t>
  </si>
  <si>
    <t>SERVICIO DE TELECOMUNICACIONES</t>
  </si>
  <si>
    <t>OTROS SERVICIOS BASICOS</t>
  </si>
  <si>
    <t>SERVICIOS COMERCIALES Y FINANCIEROS</t>
  </si>
  <si>
    <t>INFORMACION</t>
  </si>
  <si>
    <t>IMPRESIÓN, ENCUADERNACION, Y OTROS</t>
  </si>
  <si>
    <t>TRANSPORTE DE BIENES</t>
  </si>
  <si>
    <t>SERVICIO DE GESTION Y APOYO</t>
  </si>
  <si>
    <t>SERVICIOS MEDICOS Y DE LABORATORIO</t>
  </si>
  <si>
    <t>SERVICIOS DE INGENIERIA</t>
  </si>
  <si>
    <t>SERVICIOS GENERALES</t>
  </si>
  <si>
    <t>OTROS SERVICIOS DE GESTION Y APOYO</t>
  </si>
  <si>
    <t>GASTO DE VIAJE Y DE TRANSPORTE</t>
  </si>
  <si>
    <t>TRANSPORTE DENTRO DEL PAIS</t>
  </si>
  <si>
    <t>VIATICOS DENTRO DEL PAIS</t>
  </si>
  <si>
    <t>TRANSPORTE EN EL EXTERIOR</t>
  </si>
  <si>
    <t>VIATICOS EN EL EXTERIOR</t>
  </si>
  <si>
    <t>SEGUROS</t>
  </si>
  <si>
    <t>CAPACITACION Y PROTOCOLO</t>
  </si>
  <si>
    <t>ACTIVIDADES DE CAPACITACION</t>
  </si>
  <si>
    <t>ACTIVIDADES PROTOCOLARIAS Y SOCIALES</t>
  </si>
  <si>
    <t>GASTOS DE REPRESENTACION INST.</t>
  </si>
  <si>
    <t>MANTENIMIENTO Y REPARACION</t>
  </si>
  <si>
    <t>MANTENIMIENTO DE EDIFICIOS Y LOCALES</t>
  </si>
  <si>
    <t>SERVICIOS DIVERSOS</t>
  </si>
  <si>
    <t>DEDUCIBLES</t>
  </si>
  <si>
    <t>MATERIALES Y SUMINISTROS</t>
  </si>
  <si>
    <t>PRODUCTOS QUIMICOS Y CONEXOS</t>
  </si>
  <si>
    <t>COMBUSTIBLES Y LUBRICANTES</t>
  </si>
  <si>
    <t>PRODUCTOS FARMACEUTICOS Y MEDICINALES</t>
  </si>
  <si>
    <t>TINTAS, PINTURAS Y DILUYENTES</t>
  </si>
  <si>
    <t>OTROS PRODUCTOS QUIMICOS</t>
  </si>
  <si>
    <t>ALIMENTOS Y PRODUCTOS AGROPECUARIOS</t>
  </si>
  <si>
    <t>PRODUCTOS PECUARIOS Y OTRAS ESPECIES</t>
  </si>
  <si>
    <t>ALIMENTOS Y BEBIDAS</t>
  </si>
  <si>
    <t>MATERIALES Y PRODUCTOS METALICOS</t>
  </si>
  <si>
    <t>MADERA Y SUS DERIVADOS</t>
  </si>
  <si>
    <t>MATERIALES Y PRODUCTOS DE VIDRIO</t>
  </si>
  <si>
    <t>MATERIALES Y PRODUCTOS DE PLASTICO</t>
  </si>
  <si>
    <t>HERRAMIENTAS, REPUESTOS Y ACCESORIOS</t>
  </si>
  <si>
    <t>HERRAMIENTAS E INSTRUMENTOS</t>
  </si>
  <si>
    <t>REPUESTOS Y ACCESORIOS</t>
  </si>
  <si>
    <t>UTILES, MATERIALES Y SUMINISTROS DIVERSOS</t>
  </si>
  <si>
    <t>UTILES, MATERIALES DE OFICINA Y COMPUTO</t>
  </si>
  <si>
    <t>PRODUCTOS DE PAPEL, CARTON E IMPRESOS</t>
  </si>
  <si>
    <t>TEXTILES Y VESTUARIO</t>
  </si>
  <si>
    <t>UTILES Y MATERIALES DE LIMPIEZA</t>
  </si>
  <si>
    <t>UTILES Y MATERIALES DE COCINA Y COMEDOR</t>
  </si>
  <si>
    <t>OTROS UTILES, MATERIALES Y SUMINISTROS</t>
  </si>
  <si>
    <t>BIENES DURADEROS</t>
  </si>
  <si>
    <t>MAQUINARIA, EQUIPO Y MOBILIARIO</t>
  </si>
  <si>
    <t>EQUIPO DE COMUNICACIÓN</t>
  </si>
  <si>
    <t>EQUIPO Y MOBILIARIO DE OFICINA</t>
  </si>
  <si>
    <t>EQUIPO SANITARIO, DE  LABATORIO E INVESTIG.</t>
  </si>
  <si>
    <t>MAQUINARIA Y EQUIPO DIVERSO</t>
  </si>
  <si>
    <t>CONSTRUCCIONES, ADICIONES Y MEJORAS</t>
  </si>
  <si>
    <t>EDIFICIOS</t>
  </si>
  <si>
    <t>TRANSFERENCIAS CORRIENTES</t>
  </si>
  <si>
    <t>TRANSFERENCIAS CORRIENTES A INS. DESCEN</t>
  </si>
  <si>
    <t>TRANSFERENCIAS CORRIENTES A PERSONAS</t>
  </si>
  <si>
    <t>BECAS A FUNCIONARIOS</t>
  </si>
  <si>
    <t>BECAS A TERCERAS PERSONAS</t>
  </si>
  <si>
    <t>OTRAS TRANSFERENCIAS A PERSONAS</t>
  </si>
  <si>
    <t>PRESTACIONES</t>
  </si>
  <si>
    <t>PRESTACIONE LEGALES</t>
  </si>
  <si>
    <t>TRANSFERENCIAS CORRIENTES A FUNDACIONES</t>
  </si>
  <si>
    <t xml:space="preserve">REMUNERACIONES BASICAS </t>
  </si>
  <si>
    <t>TIEMPO EXTRAORDINARIO</t>
  </si>
  <si>
    <t>TRANSF.CORR. A ENTIDADES PRIV. SIN FINES DE LUCRO</t>
  </si>
  <si>
    <t>EQUIPO Y MOBILIARIO EDUCACIONAL, DEP. Y RECREATIVO</t>
  </si>
  <si>
    <t>UTILES Y MATERIALES DE RESGUARDO Y SEGURIDAD</t>
  </si>
  <si>
    <t>UTILES, MATERIALES MEDICO, HOSPITALARIO Y DE INVENTARIO</t>
  </si>
  <si>
    <t>OTROS MATERIALES Y PRODUCTOS DE USO EN CONSTRUCCION</t>
  </si>
  <si>
    <t>MATERIALES Y PRODUCTOS ELECTRICOS, TELEFONICOS DE COMPUTO</t>
  </si>
  <si>
    <t>MATRIALES Y PRODUCTOS MINERALES Y ASFALTICOS</t>
  </si>
  <si>
    <t>MAT. Y PROD. DE USO EN LA CONSTRUCCION Y MANTENIMIENTO</t>
  </si>
  <si>
    <t>MANTENIMIENTO Y REPARACION DE OTROS EQUIPOS</t>
  </si>
  <si>
    <t>MANT. Y REP. DE EQUIPO DE COMPUTO Y SISTEMAS DE INFORMATICA</t>
  </si>
  <si>
    <t>MANTENIMIENTO Y REPARACION DE EQUIPO Y MOBILIARIO DE OFICINA</t>
  </si>
  <si>
    <t xml:space="preserve">MANTENIMIENTO Y REPARACION DE EQUIPO DE COMUNIICACION </t>
  </si>
  <si>
    <t>MANTENIMIENTO Y REPARACION DE MAQUINARIA Y EQUIPO DE PRODUCCION</t>
  </si>
  <si>
    <t>SEGUROS, REASEGUROS Y OTRAS OBLIGACIONES</t>
  </si>
  <si>
    <t>SERVICIO DE TRANSFERENCIA ELECTRONICA DE INFORMACION</t>
  </si>
  <si>
    <t>ALQUILERES DE MAQUINARIA, EQUIPO Y MOBILIARIO</t>
  </si>
  <si>
    <t>ALQUILERES DE EDIFICIOS, LOCALES, Y TERRENOS</t>
  </si>
  <si>
    <t>RESTRICCION AL EJERCICIO LIBERAL  DE L A PROFESION</t>
  </si>
  <si>
    <t>CONTRIBUCIONES PATRONALES AL DESARROLLO Y LA SEGURIDAD SOCIAL</t>
  </si>
  <si>
    <t>CONTRIBUCION PATRONAL AL INST. MIXTO DE AYUDA SOCIAL</t>
  </si>
  <si>
    <t>CONTRIBUCION PATRON. FOND. DE PENSIONES Y OTROS FONDOS DE CAPITAL</t>
  </si>
  <si>
    <t>TRANSFERENCIAS CORRIENTES AL SECTOR PUBLICO</t>
  </si>
  <si>
    <t xml:space="preserve"> </t>
  </si>
  <si>
    <t>00</t>
  </si>
  <si>
    <t>01</t>
  </si>
  <si>
    <t>02</t>
  </si>
  <si>
    <t>05</t>
  </si>
  <si>
    <t>06</t>
  </si>
  <si>
    <t>SERVICIOS DE DESARROLLO DE SISTEMAS INFORMATICOS</t>
  </si>
  <si>
    <t>OTROS SERVICIOS NO ESPECIFICADOS</t>
  </si>
  <si>
    <t>EQUIPOS Y PROGRAMAS DE COMPUTO</t>
  </si>
  <si>
    <t>OTRAS TRANSFERENCIAS CORRIENTES AL SECTOR PRIVADO</t>
  </si>
  <si>
    <t>INDEMNIZACIONES</t>
  </si>
  <si>
    <t>OTRAS PRESTACIONES A TERCERAS PERSONAS</t>
  </si>
  <si>
    <t>CONTRIBUCION PATRONAL AL SEGURO DE SALUD DE LA C.C.S.S. 9.25%</t>
  </si>
  <si>
    <t>CONTRIBUCION PATRONAL AL BANCO POPULAR Y DE DESARROLLO COMUNAL .05%</t>
  </si>
  <si>
    <t>CONTRIB. PATR. AL SEGURO DE PENSIONES DE LA C.C.S.S. 4.75%</t>
  </si>
  <si>
    <t>APORTE PATR. REGIMEN OBLIG. DE PENSIONES COMPLEMENTARIAS 1.5%</t>
  </si>
  <si>
    <t>APORTE PATRONAL DE FONDO DE CAPITALIZACION LABORAL 3%</t>
  </si>
  <si>
    <t>CONTRIB. PATR. OTROS FDOS ADMINIST. POR ENTES PRIVADOS  ASOFUNDE 2%</t>
  </si>
  <si>
    <t>IMPUESTOS</t>
  </si>
  <si>
    <t>OTROS IMPUESTOS</t>
  </si>
  <si>
    <t>SERVICIOS EN CIENCIAS ECONOMICAS Y SOCIALES</t>
  </si>
  <si>
    <t>INTERESES MORATORIOS Y MULTAS</t>
  </si>
  <si>
    <t>EQUIPO E TRANSPORTE</t>
  </si>
  <si>
    <t>BIENES DUAREDEROS DIVERSOS</t>
  </si>
  <si>
    <t>BIENES INTANGIBLES</t>
  </si>
  <si>
    <t>OTROS BIENES DURADEROS</t>
  </si>
  <si>
    <t>MANTENIMIENTO Y REPARACION DE EQUIPO DE TRANSPORTE</t>
  </si>
  <si>
    <t>OTRAS CONSTRUCCIONES, ADICIONES Y MEJORAS</t>
  </si>
  <si>
    <t xml:space="preserve">INSTALACIONES </t>
  </si>
  <si>
    <t xml:space="preserve">TOTAL PRESUPUESTO </t>
  </si>
  <si>
    <t>SERVICIOS JURIDICOS</t>
  </si>
  <si>
    <t>RECARGO DE FUNCIONES</t>
  </si>
  <si>
    <t>ALQUILER Y DERECHOS PARA TELECOMUNICACIONES</t>
  </si>
  <si>
    <t>COMISIONES Y GASTOS POR SERVICIOS</t>
  </si>
  <si>
    <t>PRODUCTOS AGROFORESTALES</t>
  </si>
  <si>
    <t>% EJECUCIÓN</t>
  </si>
  <si>
    <t>GASTO REAL</t>
  </si>
  <si>
    <t>SALDO SIN EJECUTAR</t>
  </si>
  <si>
    <t>GASTOS HISTORICOS DE LOS PRESUPUESTOS</t>
  </si>
  <si>
    <t>POR OBJETO DEL GASTO ( O SUBPARTIDA )</t>
  </si>
  <si>
    <t>DEPARTMAENTO FINANCIERO CONTABLE</t>
  </si>
  <si>
    <t>PROGRAMA 808: DEFENSORIA DE LOS HABITANTES DE LA REPUBLICA</t>
  </si>
  <si>
    <t>PRESUPUESTO FINAL</t>
  </si>
  <si>
    <t>AÑO 2015</t>
  </si>
  <si>
    <t>AÑO 2016</t>
  </si>
  <si>
    <t>PUBLICIDAD Y PROPAGANDA</t>
  </si>
  <si>
    <t>TRANSFERENCIAS CORRIENTES AL SECTOR EXTERNO</t>
  </si>
  <si>
    <t>TRANSF. CTES A ORGANISMOS INTERNACIONALES</t>
  </si>
  <si>
    <t>AÑO 2017</t>
  </si>
  <si>
    <t>AÑO 2018</t>
  </si>
  <si>
    <t>DE LOS AÑOS 2015,2015 ,2016, 2017, 2018 Y 2019</t>
  </si>
  <si>
    <t>AÑO 2019</t>
  </si>
</sst>
</file>

<file path=xl/styles.xml><?xml version="1.0" encoding="utf-8"?>
<styleSheet xmlns="http://schemas.openxmlformats.org/spreadsheetml/2006/main">
  <numFmts count="49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\ &quot;₡&quot;_);\(#,##0\ &quot;₡&quot;\)"/>
    <numFmt numFmtId="165" formatCode="#,##0\ &quot;₡&quot;_);[Red]\(#,##0\ &quot;₡&quot;\)"/>
    <numFmt numFmtId="166" formatCode="#,##0.00\ &quot;₡&quot;_);\(#,##0.00\ &quot;₡&quot;\)"/>
    <numFmt numFmtId="167" formatCode="#,##0.00\ &quot;₡&quot;_);[Red]\(#,##0.00\ &quot;₡&quot;\)"/>
    <numFmt numFmtId="168" formatCode="_ * #,##0_)\ &quot;₡&quot;_ ;_ * \(#,##0\)\ &quot;₡&quot;_ ;_ * &quot;-&quot;_)\ &quot;₡&quot;_ ;_ @_ "/>
    <numFmt numFmtId="169" formatCode="_ * #,##0_)_ ;_ * \(#,##0\)_ ;_ * &quot;-&quot;_)_ ;_ @_ "/>
    <numFmt numFmtId="170" formatCode="_ * #,##0.00_)\ &quot;₡&quot;_ ;_ * \(#,##0.00\)\ &quot;₡&quot;_ ;_ * &quot;-&quot;??_)\ &quot;₡&quot;_ ;_ @_ "/>
    <numFmt numFmtId="171" formatCode="_ * #,##0.00_)_ ;_ * \(#,##0.00\)_ ;_ * &quot;-&quot;??_)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¢&quot;#,##0_);\(&quot;¢&quot;#,##0\)"/>
    <numFmt numFmtId="187" formatCode="&quot;¢&quot;#,##0_);[Red]\(&quot;¢&quot;#,##0\)"/>
    <numFmt numFmtId="188" formatCode="&quot;¢&quot;#,##0.00_);\(&quot;¢&quot;#,##0.00\)"/>
    <numFmt numFmtId="189" formatCode="&quot;¢&quot;#,##0.00_);[Red]\(&quot;¢&quot;#,##0.00\)"/>
    <numFmt numFmtId="190" formatCode="_(&quot;¢&quot;* #,##0_);_(&quot;¢&quot;* \(#,##0\);_(&quot;¢&quot;* &quot;-&quot;_);_(@_)"/>
    <numFmt numFmtId="191" formatCode="_(&quot;¢&quot;* #,##0.00_);_(&quot;¢&quot;* \(#,##0.00\);_(&quot;¢&quot;* &quot;-&quot;??_);_(@_)"/>
    <numFmt numFmtId="192" formatCode="&quot;C&quot;#,##0_);\(&quot;C&quot;#,##0\)"/>
    <numFmt numFmtId="193" formatCode="&quot;C&quot;#,##0_);[Red]\(&quot;C&quot;#,##0\)"/>
    <numFmt numFmtId="194" formatCode="&quot;C&quot;#,##0.00_);\(&quot;C&quot;#,##0.00\)"/>
    <numFmt numFmtId="195" formatCode="&quot;C&quot;#,##0.00_);[Red]\(&quot;C&quot;#,##0.00\)"/>
    <numFmt numFmtId="196" formatCode="_(&quot;C&quot;* #,##0_);_(&quot;C&quot;* \(#,##0\);_(&quot;C&quot;* &quot;-&quot;_);_(@_)"/>
    <numFmt numFmtId="197" formatCode="_(&quot;C&quot;* #,##0.00_);_(&quot;C&quot;* \(#,##0.00\);_(&quot;C&quot;* &quot;-&quot;??_);_(@_)"/>
    <numFmt numFmtId="198" formatCode="0.000000"/>
    <numFmt numFmtId="199" formatCode="0.00000"/>
    <numFmt numFmtId="200" formatCode="0.0000"/>
    <numFmt numFmtId="201" formatCode="0.000"/>
    <numFmt numFmtId="202" formatCode="0.0000000"/>
    <numFmt numFmtId="203" formatCode="0.0"/>
    <numFmt numFmtId="204" formatCode="_ * #,##0.00_)\ _₡_ ;_ * \(#,##0.00\)\ _₡_ ;_ * &quot;-&quot;??_)\ _₡_ ;_ @_ "/>
  </numFmts>
  <fonts count="45">
    <font>
      <sz val="10"/>
      <name val="Arial"/>
      <family val="0"/>
    </font>
    <font>
      <i/>
      <sz val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8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34" borderId="0" xfId="0" applyFont="1" applyFill="1" applyAlignment="1" quotePrefix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34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2" fillId="35" borderId="10" xfId="0" applyNumberFormat="1" applyFont="1" applyFill="1" applyBorder="1" applyAlignment="1">
      <alignment/>
    </xf>
    <xf numFmtId="4" fontId="4" fillId="35" borderId="11" xfId="0" applyNumberFormat="1" applyFont="1" applyFill="1" applyBorder="1" applyAlignment="1">
      <alignment horizontal="center"/>
    </xf>
    <xf numFmtId="4" fontId="3" fillId="35" borderId="11" xfId="0" applyNumberFormat="1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4" fontId="4" fillId="36" borderId="11" xfId="0" applyNumberFormat="1" applyFont="1" applyFill="1" applyBorder="1" applyAlignment="1">
      <alignment horizontal="center"/>
    </xf>
    <xf numFmtId="4" fontId="3" fillId="36" borderId="11" xfId="0" applyNumberFormat="1" applyFont="1" applyFill="1" applyBorder="1" applyAlignment="1">
      <alignment horizontal="center"/>
    </xf>
    <xf numFmtId="0" fontId="3" fillId="36" borderId="11" xfId="0" applyFont="1" applyFill="1" applyBorder="1" applyAlignment="1">
      <alignment horizontal="center"/>
    </xf>
    <xf numFmtId="0" fontId="3" fillId="36" borderId="0" xfId="0" applyFont="1" applyFill="1" applyAlignment="1">
      <alignment/>
    </xf>
    <xf numFmtId="4" fontId="3" fillId="36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4" fontId="3" fillId="35" borderId="0" xfId="0" applyNumberFormat="1" applyFont="1" applyFill="1" applyAlignment="1">
      <alignment/>
    </xf>
    <xf numFmtId="4" fontId="2" fillId="35" borderId="0" xfId="0" applyNumberFormat="1" applyFont="1" applyFill="1" applyAlignment="1">
      <alignment/>
    </xf>
    <xf numFmtId="0" fontId="3" fillId="35" borderId="0" xfId="0" applyFont="1" applyFill="1" applyBorder="1" applyAlignment="1">
      <alignment/>
    </xf>
    <xf numFmtId="4" fontId="4" fillId="36" borderId="0" xfId="0" applyNumberFormat="1" applyFont="1" applyFill="1" applyBorder="1" applyAlignment="1">
      <alignment horizontal="center"/>
    </xf>
    <xf numFmtId="4" fontId="3" fillId="36" borderId="0" xfId="0" applyNumberFormat="1" applyFont="1" applyFill="1" applyBorder="1" applyAlignment="1">
      <alignment horizontal="center"/>
    </xf>
    <xf numFmtId="0" fontId="3" fillId="36" borderId="0" xfId="0" applyFont="1" applyFill="1" applyBorder="1" applyAlignment="1">
      <alignment horizontal="center"/>
    </xf>
    <xf numFmtId="4" fontId="2" fillId="36" borderId="12" xfId="0" applyNumberFormat="1" applyFont="1" applyFill="1" applyBorder="1" applyAlignment="1">
      <alignment/>
    </xf>
    <xf numFmtId="4" fontId="8" fillId="36" borderId="13" xfId="0" applyNumberFormat="1" applyFont="1" applyFill="1" applyBorder="1" applyAlignment="1">
      <alignment horizontal="center"/>
    </xf>
    <xf numFmtId="4" fontId="2" fillId="35" borderId="14" xfId="0" applyNumberFormat="1" applyFont="1" applyFill="1" applyBorder="1" applyAlignment="1">
      <alignment/>
    </xf>
    <xf numFmtId="2" fontId="9" fillId="35" borderId="15" xfId="0" applyNumberFormat="1" applyFont="1" applyFill="1" applyBorder="1" applyAlignment="1">
      <alignment horizontal="center"/>
    </xf>
    <xf numFmtId="4" fontId="2" fillId="35" borderId="15" xfId="0" applyNumberFormat="1" applyFont="1" applyFill="1" applyBorder="1" applyAlignment="1">
      <alignment/>
    </xf>
    <xf numFmtId="4" fontId="10" fillId="35" borderId="15" xfId="0" applyNumberFormat="1" applyFont="1" applyFill="1" applyBorder="1" applyAlignment="1">
      <alignment/>
    </xf>
    <xf numFmtId="4" fontId="3" fillId="36" borderId="0" xfId="0" applyNumberFormat="1" applyFont="1" applyFill="1" applyAlignment="1" quotePrefix="1">
      <alignment/>
    </xf>
    <xf numFmtId="4" fontId="2" fillId="36" borderId="0" xfId="0" applyNumberFormat="1" applyFont="1" applyFill="1" applyAlignment="1">
      <alignment/>
    </xf>
    <xf numFmtId="4" fontId="10" fillId="36" borderId="15" xfId="0" applyNumberFormat="1" applyFont="1" applyFill="1" applyBorder="1" applyAlignment="1">
      <alignment/>
    </xf>
    <xf numFmtId="4" fontId="4" fillId="19" borderId="11" xfId="0" applyNumberFormat="1" applyFont="1" applyFill="1" applyBorder="1" applyAlignment="1">
      <alignment horizontal="center"/>
    </xf>
    <xf numFmtId="4" fontId="3" fillId="19" borderId="11" xfId="0" applyNumberFormat="1" applyFont="1" applyFill="1" applyBorder="1" applyAlignment="1">
      <alignment horizontal="center"/>
    </xf>
    <xf numFmtId="0" fontId="3" fillId="19" borderId="11" xfId="0" applyFont="1" applyFill="1" applyBorder="1" applyAlignment="1">
      <alignment horizontal="center"/>
    </xf>
    <xf numFmtId="4" fontId="2" fillId="19" borderId="12" xfId="0" applyNumberFormat="1" applyFont="1" applyFill="1" applyBorder="1" applyAlignment="1">
      <alignment/>
    </xf>
    <xf numFmtId="4" fontId="8" fillId="19" borderId="13" xfId="0" applyNumberFormat="1" applyFont="1" applyFill="1" applyBorder="1" applyAlignment="1">
      <alignment horizontal="center"/>
    </xf>
    <xf numFmtId="0" fontId="3" fillId="19" borderId="0" xfId="0" applyFont="1" applyFill="1" applyAlignment="1">
      <alignment/>
    </xf>
    <xf numFmtId="43" fontId="3" fillId="19" borderId="0" xfId="47" applyFont="1" applyFill="1" applyAlignment="1">
      <alignment/>
    </xf>
    <xf numFmtId="179" fontId="3" fillId="19" borderId="0" xfId="0" applyNumberFormat="1" applyFont="1" applyFill="1" applyAlignment="1">
      <alignment/>
    </xf>
    <xf numFmtId="4" fontId="2" fillId="19" borderId="0" xfId="0" applyNumberFormat="1" applyFont="1" applyFill="1" applyAlignment="1">
      <alignment/>
    </xf>
    <xf numFmtId="4" fontId="10" fillId="19" borderId="15" xfId="0" applyNumberFormat="1" applyFont="1" applyFill="1" applyBorder="1" applyAlignment="1">
      <alignment/>
    </xf>
    <xf numFmtId="0" fontId="0" fillId="0" borderId="0" xfId="0" applyFont="1" applyAlignment="1">
      <alignment/>
    </xf>
    <xf numFmtId="4" fontId="10" fillId="37" borderId="10" xfId="0" applyNumberFormat="1" applyFont="1" applyFill="1" applyBorder="1" applyAlignment="1">
      <alignment horizontal="center"/>
    </xf>
    <xf numFmtId="4" fontId="4" fillId="17" borderId="11" xfId="0" applyNumberFormat="1" applyFont="1" applyFill="1" applyBorder="1" applyAlignment="1">
      <alignment horizontal="center"/>
    </xf>
    <xf numFmtId="4" fontId="3" fillId="17" borderId="11" xfId="0" applyNumberFormat="1" applyFont="1" applyFill="1" applyBorder="1" applyAlignment="1">
      <alignment horizontal="center"/>
    </xf>
    <xf numFmtId="0" fontId="3" fillId="17" borderId="11" xfId="0" applyFont="1" applyFill="1" applyBorder="1" applyAlignment="1">
      <alignment horizontal="center"/>
    </xf>
    <xf numFmtId="4" fontId="2" fillId="17" borderId="12" xfId="0" applyNumberFormat="1" applyFont="1" applyFill="1" applyBorder="1" applyAlignment="1">
      <alignment/>
    </xf>
    <xf numFmtId="4" fontId="8" fillId="17" borderId="13" xfId="0" applyNumberFormat="1" applyFont="1" applyFill="1" applyBorder="1" applyAlignment="1">
      <alignment horizontal="center"/>
    </xf>
    <xf numFmtId="0" fontId="3" fillId="17" borderId="0" xfId="0" applyFont="1" applyFill="1" applyAlignment="1">
      <alignment/>
    </xf>
    <xf numFmtId="43" fontId="3" fillId="17" borderId="0" xfId="47" applyFont="1" applyFill="1" applyAlignment="1">
      <alignment/>
    </xf>
    <xf numFmtId="179" fontId="3" fillId="17" borderId="0" xfId="0" applyNumberFormat="1" applyFont="1" applyFill="1" applyAlignment="1">
      <alignment/>
    </xf>
    <xf numFmtId="4" fontId="2" fillId="17" borderId="0" xfId="0" applyNumberFormat="1" applyFont="1" applyFill="1" applyAlignment="1">
      <alignment/>
    </xf>
    <xf numFmtId="4" fontId="10" fillId="17" borderId="15" xfId="0" applyNumberFormat="1" applyFont="1" applyFill="1" applyBorder="1" applyAlignment="1">
      <alignment/>
    </xf>
    <xf numFmtId="43" fontId="0" fillId="0" borderId="0" xfId="47" applyFont="1" applyAlignment="1">
      <alignment/>
    </xf>
    <xf numFmtId="204" fontId="0" fillId="0" borderId="0" xfId="0" applyNumberFormat="1" applyAlignment="1">
      <alignment/>
    </xf>
    <xf numFmtId="4" fontId="7" fillId="35" borderId="16" xfId="0" applyNumberFormat="1" applyFont="1" applyFill="1" applyBorder="1" applyAlignment="1">
      <alignment horizontal="center"/>
    </xf>
    <xf numFmtId="4" fontId="7" fillId="35" borderId="17" xfId="0" applyNumberFormat="1" applyFont="1" applyFill="1" applyBorder="1" applyAlignment="1">
      <alignment horizontal="center"/>
    </xf>
    <xf numFmtId="4" fontId="7" fillId="35" borderId="18" xfId="0" applyNumberFormat="1" applyFont="1" applyFill="1" applyBorder="1" applyAlignment="1">
      <alignment horizontal="center"/>
    </xf>
    <xf numFmtId="4" fontId="7" fillId="36" borderId="16" xfId="0" applyNumberFormat="1" applyFont="1" applyFill="1" applyBorder="1" applyAlignment="1">
      <alignment horizontal="center"/>
    </xf>
    <xf numFmtId="4" fontId="7" fillId="36" borderId="17" xfId="0" applyNumberFormat="1" applyFont="1" applyFill="1" applyBorder="1" applyAlignment="1">
      <alignment horizontal="center"/>
    </xf>
    <xf numFmtId="4" fontId="7" fillId="36" borderId="18" xfId="0" applyNumberFormat="1" applyFont="1" applyFill="1" applyBorder="1" applyAlignment="1">
      <alignment horizontal="center"/>
    </xf>
    <xf numFmtId="4" fontId="7" fillId="19" borderId="16" xfId="0" applyNumberFormat="1" applyFont="1" applyFill="1" applyBorder="1" applyAlignment="1">
      <alignment horizontal="center"/>
    </xf>
    <xf numFmtId="4" fontId="7" fillId="19" borderId="17" xfId="0" applyNumberFormat="1" applyFont="1" applyFill="1" applyBorder="1" applyAlignment="1">
      <alignment horizontal="center"/>
    </xf>
    <xf numFmtId="4" fontId="7" fillId="19" borderId="18" xfId="0" applyNumberFormat="1" applyFont="1" applyFill="1" applyBorder="1" applyAlignment="1">
      <alignment horizontal="center"/>
    </xf>
    <xf numFmtId="4" fontId="7" fillId="17" borderId="16" xfId="0" applyNumberFormat="1" applyFont="1" applyFill="1" applyBorder="1" applyAlignment="1">
      <alignment horizontal="center"/>
    </xf>
    <xf numFmtId="4" fontId="7" fillId="17" borderId="17" xfId="0" applyNumberFormat="1" applyFont="1" applyFill="1" applyBorder="1" applyAlignment="1">
      <alignment horizontal="center"/>
    </xf>
    <xf numFmtId="4" fontId="7" fillId="17" borderId="18" xfId="0" applyNumberFormat="1" applyFont="1" applyFill="1" applyBorder="1" applyAlignment="1">
      <alignment horizontal="center"/>
    </xf>
    <xf numFmtId="4" fontId="7" fillId="16" borderId="16" xfId="0" applyNumberFormat="1" applyFont="1" applyFill="1" applyBorder="1" applyAlignment="1">
      <alignment horizontal="center"/>
    </xf>
    <xf numFmtId="4" fontId="7" fillId="16" borderId="17" xfId="0" applyNumberFormat="1" applyFont="1" applyFill="1" applyBorder="1" applyAlignment="1">
      <alignment horizontal="center"/>
    </xf>
    <xf numFmtId="4" fontId="7" fillId="16" borderId="18" xfId="0" applyNumberFormat="1" applyFont="1" applyFill="1" applyBorder="1" applyAlignment="1">
      <alignment horizontal="center"/>
    </xf>
    <xf numFmtId="4" fontId="4" fillId="16" borderId="11" xfId="0" applyNumberFormat="1" applyFont="1" applyFill="1" applyBorder="1" applyAlignment="1">
      <alignment horizontal="center"/>
    </xf>
    <xf numFmtId="4" fontId="3" fillId="16" borderId="11" xfId="0" applyNumberFormat="1" applyFont="1" applyFill="1" applyBorder="1" applyAlignment="1">
      <alignment horizontal="center"/>
    </xf>
    <xf numFmtId="0" fontId="3" fillId="16" borderId="11" xfId="0" applyFont="1" applyFill="1" applyBorder="1" applyAlignment="1">
      <alignment horizontal="center"/>
    </xf>
    <xf numFmtId="4" fontId="2" fillId="16" borderId="12" xfId="0" applyNumberFormat="1" applyFont="1" applyFill="1" applyBorder="1" applyAlignment="1">
      <alignment/>
    </xf>
    <xf numFmtId="4" fontId="8" fillId="16" borderId="13" xfId="0" applyNumberFormat="1" applyFont="1" applyFill="1" applyBorder="1" applyAlignment="1">
      <alignment horizontal="center"/>
    </xf>
    <xf numFmtId="0" fontId="3" fillId="16" borderId="0" xfId="0" applyFont="1" applyFill="1" applyAlignment="1">
      <alignment/>
    </xf>
    <xf numFmtId="4" fontId="3" fillId="16" borderId="0" xfId="0" applyNumberFormat="1" applyFont="1" applyFill="1" applyAlignment="1">
      <alignment/>
    </xf>
    <xf numFmtId="4" fontId="3" fillId="16" borderId="0" xfId="0" applyNumberFormat="1" applyFont="1" applyFill="1" applyAlignment="1" quotePrefix="1">
      <alignment/>
    </xf>
    <xf numFmtId="4" fontId="2" fillId="16" borderId="0" xfId="0" applyNumberFormat="1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hr.go.cr/Users\Francisco\Desktop\INFORMACION%20A&#209;O%202015\CARGOS%20ACUMULADOS-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hr.go.cr/Users\Francisco\Desktop\PRESUPUESTO%202016\CARGOS%20ACUMULADOS-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rancisco\Desktop\A&#209;O%202019\CARGOS%20ACUMULADOS-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sientos del Diario"/>
      <sheetName val="Hoja2"/>
      <sheetName val="Hoja3"/>
    </sheetNames>
    <sheetDataSet>
      <sheetData sheetId="0">
        <row r="29">
          <cell r="E29">
            <v>1348969147.35</v>
          </cell>
        </row>
        <row r="85">
          <cell r="E85">
            <v>18260605.119999997</v>
          </cell>
        </row>
        <row r="105">
          <cell r="E105">
            <v>9992805.87</v>
          </cell>
        </row>
        <row r="121">
          <cell r="E121">
            <v>0</v>
          </cell>
        </row>
        <row r="151">
          <cell r="E151">
            <v>780439460.49</v>
          </cell>
        </row>
        <row r="181">
          <cell r="E181">
            <v>710273882.91</v>
          </cell>
        </row>
        <row r="187">
          <cell r="E187">
            <v>287230326.34</v>
          </cell>
        </row>
        <row r="193">
          <cell r="E193">
            <v>247830942</v>
          </cell>
        </row>
        <row r="246">
          <cell r="E246">
            <v>350103606.84999996</v>
          </cell>
        </row>
        <row r="264">
          <cell r="E264">
            <v>320856901</v>
          </cell>
        </row>
        <row r="281">
          <cell r="E281">
            <v>17341642</v>
          </cell>
        </row>
        <row r="301">
          <cell r="E301">
            <v>174296095</v>
          </cell>
        </row>
        <row r="321">
          <cell r="E321">
            <v>52030133</v>
          </cell>
        </row>
        <row r="340">
          <cell r="E340">
            <v>104060218</v>
          </cell>
        </row>
        <row r="361">
          <cell r="E361">
            <v>117198952.79</v>
          </cell>
        </row>
        <row r="441">
          <cell r="E441">
            <v>30047852.6</v>
          </cell>
        </row>
        <row r="459">
          <cell r="E459">
            <v>32340</v>
          </cell>
        </row>
        <row r="531">
          <cell r="E531">
            <v>20106308.85</v>
          </cell>
        </row>
        <row r="624">
          <cell r="E624">
            <v>24677834.919999998</v>
          </cell>
        </row>
        <row r="650">
          <cell r="E650">
            <v>7603625</v>
          </cell>
        </row>
        <row r="735">
          <cell r="E735">
            <v>39539360.010000005</v>
          </cell>
        </row>
        <row r="760">
          <cell r="E760">
            <v>1199787.06</v>
          </cell>
        </row>
        <row r="796">
          <cell r="E796">
            <v>5710718</v>
          </cell>
        </row>
        <row r="808">
          <cell r="E808">
            <v>278035.6</v>
          </cell>
        </row>
        <row r="837">
          <cell r="E837">
            <v>2912441.85</v>
          </cell>
        </row>
        <row r="852">
          <cell r="E852">
            <v>23600</v>
          </cell>
        </row>
        <row r="874">
          <cell r="E874">
            <v>2118545.9699999997</v>
          </cell>
        </row>
        <row r="891">
          <cell r="E891">
            <v>12000000</v>
          </cell>
        </row>
        <row r="907">
          <cell r="E907">
            <v>7000000</v>
          </cell>
        </row>
        <row r="919">
          <cell r="E919">
            <v>21656873</v>
          </cell>
        </row>
        <row r="1025">
          <cell r="E1025">
            <v>102653227.16999997</v>
          </cell>
        </row>
        <row r="1087">
          <cell r="E1087">
            <v>7089011.87</v>
          </cell>
        </row>
        <row r="1119">
          <cell r="E1119">
            <v>1486395</v>
          </cell>
        </row>
        <row r="1161">
          <cell r="E1161">
            <v>18999551.759999998</v>
          </cell>
        </row>
        <row r="1172">
          <cell r="E1172">
            <v>2253500.82</v>
          </cell>
        </row>
        <row r="1192">
          <cell r="E1192">
            <v>3000000</v>
          </cell>
        </row>
        <row r="1228">
          <cell r="E1228">
            <v>30216283</v>
          </cell>
        </row>
        <row r="1268">
          <cell r="E1268">
            <v>7750553.2</v>
          </cell>
        </row>
        <row r="1305">
          <cell r="E1305">
            <v>1916292.64</v>
          </cell>
        </row>
        <row r="1316">
          <cell r="E1316">
            <v>245983</v>
          </cell>
        </row>
        <row r="1342">
          <cell r="E1342">
            <v>5618055.8</v>
          </cell>
        </row>
        <row r="1358">
          <cell r="E1358">
            <v>3190900</v>
          </cell>
        </row>
        <row r="1485">
          <cell r="E1485">
            <v>10906690.46</v>
          </cell>
        </row>
        <row r="1502">
          <cell r="E1502">
            <v>596912.22</v>
          </cell>
        </row>
        <row r="1533">
          <cell r="E1533">
            <v>3594587.17</v>
          </cell>
        </row>
        <row r="1547">
          <cell r="E1547">
            <v>938825.1</v>
          </cell>
        </row>
        <row r="1555">
          <cell r="E1555">
            <v>61530</v>
          </cell>
        </row>
        <row r="1564">
          <cell r="E1564">
            <v>320152</v>
          </cell>
        </row>
        <row r="1580">
          <cell r="E1580">
            <v>423891</v>
          </cell>
        </row>
        <row r="1605">
          <cell r="E1605">
            <v>7879993</v>
          </cell>
        </row>
        <row r="1624">
          <cell r="E1624">
            <v>1858876</v>
          </cell>
        </row>
        <row r="1671">
          <cell r="E1671">
            <v>6431529.8</v>
          </cell>
        </row>
        <row r="1686">
          <cell r="E1686">
            <v>342999.2</v>
          </cell>
        </row>
        <row r="1692">
          <cell r="E1692">
            <v>99500</v>
          </cell>
        </row>
        <row r="1717">
          <cell r="E1717">
            <v>1141537.56</v>
          </cell>
        </row>
        <row r="1742">
          <cell r="E1742">
            <v>597090.6</v>
          </cell>
        </row>
        <row r="1757">
          <cell r="E1757">
            <v>76946.2</v>
          </cell>
        </row>
        <row r="1769">
          <cell r="E1769">
            <v>178219</v>
          </cell>
        </row>
        <row r="1807">
          <cell r="E1807">
            <v>2931949.21</v>
          </cell>
        </row>
        <row r="1817">
          <cell r="E1817">
            <v>142000</v>
          </cell>
        </row>
        <row r="1831">
          <cell r="E1831">
            <v>550777.76</v>
          </cell>
        </row>
        <row r="1843">
          <cell r="E1843">
            <v>587955.96</v>
          </cell>
        </row>
        <row r="1865">
          <cell r="E1865">
            <v>961590.07</v>
          </cell>
        </row>
        <row r="1901">
          <cell r="E1901">
            <v>2145457.42</v>
          </cell>
        </row>
        <row r="1955">
          <cell r="E1955">
            <v>1363444.2</v>
          </cell>
        </row>
        <row r="1965">
          <cell r="E1965">
            <v>160050</v>
          </cell>
        </row>
        <row r="2020">
          <cell r="E2020">
            <v>5188677.800000001</v>
          </cell>
        </row>
        <row r="2041">
          <cell r="E2041">
            <v>346217.15</v>
          </cell>
        </row>
        <row r="2068">
          <cell r="E2068">
            <v>1528339</v>
          </cell>
        </row>
        <row r="2081">
          <cell r="E2081">
            <v>595560.3</v>
          </cell>
        </row>
        <row r="2093">
          <cell r="E2093">
            <v>292155</v>
          </cell>
        </row>
        <row r="2112">
          <cell r="E2112">
            <v>801208.28</v>
          </cell>
        </row>
        <row r="2147">
          <cell r="E2147">
            <v>2698658.52</v>
          </cell>
        </row>
        <row r="2168">
          <cell r="E2168">
            <v>18411760.35</v>
          </cell>
        </row>
        <row r="2203">
          <cell r="E2203">
            <v>39905005.94</v>
          </cell>
        </row>
        <row r="2213">
          <cell r="E2213">
            <v>2159009.3</v>
          </cell>
        </row>
        <row r="2239">
          <cell r="E2239">
            <v>4567955.36</v>
          </cell>
        </row>
        <row r="2257">
          <cell r="E2257">
            <v>109354662.25</v>
          </cell>
        </row>
        <row r="2267">
          <cell r="E2267">
            <v>57616626.5</v>
          </cell>
        </row>
        <row r="2279">
          <cell r="E2279">
            <v>7999000</v>
          </cell>
        </row>
        <row r="2319">
          <cell r="E2319">
            <v>43225677.31</v>
          </cell>
        </row>
        <row r="2348">
          <cell r="E2348">
            <v>999180</v>
          </cell>
        </row>
        <row r="2361">
          <cell r="E2361">
            <v>46369458.46</v>
          </cell>
        </row>
        <row r="2389">
          <cell r="E2389">
            <v>22049745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sientos del Diario"/>
      <sheetName val="Hoja2"/>
      <sheetName val="Hoja3"/>
    </sheetNames>
    <sheetDataSet>
      <sheetData sheetId="0">
        <row r="29">
          <cell r="E29">
            <v>1364558580.63</v>
          </cell>
        </row>
        <row r="85">
          <cell r="E85">
            <v>1505295</v>
          </cell>
        </row>
        <row r="105">
          <cell r="E105">
            <v>15193738.76</v>
          </cell>
        </row>
        <row r="121">
          <cell r="E121">
            <v>441500</v>
          </cell>
        </row>
        <row r="151">
          <cell r="E151">
            <v>819960545.97</v>
          </cell>
        </row>
        <row r="181">
          <cell r="E181">
            <v>731883460.19</v>
          </cell>
        </row>
        <row r="187">
          <cell r="E187">
            <v>296133576</v>
          </cell>
        </row>
        <row r="193">
          <cell r="E193">
            <v>264248406</v>
          </cell>
        </row>
        <row r="246">
          <cell r="E246">
            <v>365975285.83</v>
          </cell>
        </row>
        <row r="264">
          <cell r="E264">
            <v>304229474</v>
          </cell>
        </row>
        <row r="281">
          <cell r="E281">
            <v>16446969</v>
          </cell>
        </row>
        <row r="301">
          <cell r="E301">
            <v>165614243</v>
          </cell>
        </row>
        <row r="321">
          <cell r="E321">
            <v>49335460</v>
          </cell>
        </row>
        <row r="340">
          <cell r="E340">
            <v>98671226</v>
          </cell>
        </row>
        <row r="361">
          <cell r="E361">
            <v>128290592.47999999</v>
          </cell>
        </row>
        <row r="471">
          <cell r="E471">
            <v>33767086.65</v>
          </cell>
        </row>
        <row r="489">
          <cell r="E489">
            <v>33360</v>
          </cell>
        </row>
        <row r="561">
          <cell r="E561">
            <v>16983285</v>
          </cell>
        </row>
        <row r="654">
          <cell r="E654">
            <v>25550209.060000002</v>
          </cell>
        </row>
        <row r="680">
          <cell r="E680">
            <v>7604215</v>
          </cell>
        </row>
        <row r="764">
          <cell r="E764">
            <v>48915560.599999994</v>
          </cell>
        </row>
        <row r="789">
          <cell r="E789">
            <v>1235097.1300000004</v>
          </cell>
        </row>
        <row r="825">
          <cell r="E825">
            <v>2161427.7</v>
          </cell>
        </row>
        <row r="837">
          <cell r="E837">
            <v>378700</v>
          </cell>
        </row>
        <row r="866">
          <cell r="E866">
            <v>1034505</v>
          </cell>
        </row>
        <row r="881">
          <cell r="E881">
            <v>110100.06</v>
          </cell>
        </row>
        <row r="903">
          <cell r="E903">
            <v>1700000</v>
          </cell>
        </row>
        <row r="922">
          <cell r="E922">
            <v>15755492.530000001</v>
          </cell>
        </row>
        <row r="938">
          <cell r="E938">
            <v>1989000</v>
          </cell>
        </row>
        <row r="950">
          <cell r="E950">
            <v>7560580</v>
          </cell>
        </row>
        <row r="1056">
          <cell r="E1056">
            <v>104403938.08000003</v>
          </cell>
        </row>
        <row r="1118">
          <cell r="E1118">
            <v>7019969.89</v>
          </cell>
        </row>
        <row r="1171">
          <cell r="E1171">
            <v>1559965</v>
          </cell>
        </row>
        <row r="1377">
          <cell r="E1377">
            <v>24325588.66</v>
          </cell>
        </row>
        <row r="1389">
          <cell r="E1389">
            <v>1849564.6</v>
          </cell>
        </row>
        <row r="1409">
          <cell r="E1409">
            <v>2410093.51</v>
          </cell>
        </row>
        <row r="1445">
          <cell r="E1445">
            <v>32125077</v>
          </cell>
        </row>
        <row r="1487">
          <cell r="E1487">
            <v>4734761.2</v>
          </cell>
        </row>
        <row r="1524">
          <cell r="E1524">
            <v>1604443.6400000001</v>
          </cell>
        </row>
        <row r="1535">
          <cell r="E1535">
            <v>249999.92</v>
          </cell>
        </row>
        <row r="1561">
          <cell r="E1561">
            <v>8327980.609999999</v>
          </cell>
        </row>
        <row r="1577">
          <cell r="E1577">
            <v>3960790</v>
          </cell>
        </row>
        <row r="1706">
          <cell r="E1706">
            <v>9585293.180000002</v>
          </cell>
        </row>
        <row r="1723">
          <cell r="E1723">
            <v>467405.89</v>
          </cell>
        </row>
        <row r="1754">
          <cell r="E1754">
            <v>6201071.38</v>
          </cell>
        </row>
        <row r="1768">
          <cell r="E1768">
            <v>807308.1300000001</v>
          </cell>
        </row>
        <row r="1776">
          <cell r="E1776">
            <v>135176.07</v>
          </cell>
        </row>
        <row r="1785">
          <cell r="E1785">
            <v>328179</v>
          </cell>
        </row>
        <row r="1801">
          <cell r="E1801">
            <v>105000</v>
          </cell>
        </row>
        <row r="1826">
          <cell r="E1826">
            <v>10433495</v>
          </cell>
        </row>
        <row r="1845">
          <cell r="E1845">
            <v>1182443.7</v>
          </cell>
        </row>
        <row r="1892">
          <cell r="E1892">
            <v>6982579.819999999</v>
          </cell>
        </row>
        <row r="1907">
          <cell r="E1907">
            <v>228595.05</v>
          </cell>
        </row>
        <row r="1913">
          <cell r="E1913">
            <v>99800</v>
          </cell>
        </row>
        <row r="1941">
          <cell r="E1941">
            <v>855066</v>
          </cell>
        </row>
        <row r="1966">
          <cell r="E1966">
            <v>269927.86</v>
          </cell>
        </row>
        <row r="1981">
          <cell r="E1981">
            <v>61700</v>
          </cell>
        </row>
        <row r="2031">
          <cell r="E2031">
            <v>2122385.4</v>
          </cell>
        </row>
        <row r="2041">
          <cell r="E2041">
            <v>15441.82</v>
          </cell>
        </row>
        <row r="2057">
          <cell r="E2057">
            <v>754838</v>
          </cell>
        </row>
        <row r="2071">
          <cell r="E2071">
            <v>175625</v>
          </cell>
        </row>
        <row r="2093">
          <cell r="E2093">
            <v>728962.02</v>
          </cell>
        </row>
        <row r="2129">
          <cell r="E2129">
            <v>2314889.46</v>
          </cell>
        </row>
        <row r="2183">
          <cell r="E2183">
            <v>1754853.54</v>
          </cell>
        </row>
        <row r="2193">
          <cell r="E2193">
            <v>154054.49</v>
          </cell>
        </row>
        <row r="2248">
          <cell r="E2248">
            <v>8311077.529999999</v>
          </cell>
        </row>
        <row r="2269">
          <cell r="E2269">
            <v>333220</v>
          </cell>
        </row>
        <row r="2296">
          <cell r="E2296">
            <v>1217074.7</v>
          </cell>
        </row>
        <row r="2309">
          <cell r="E2309">
            <v>327973</v>
          </cell>
        </row>
        <row r="2321">
          <cell r="E2321">
            <v>174730</v>
          </cell>
        </row>
        <row r="2340">
          <cell r="E2340">
            <v>272407.52</v>
          </cell>
        </row>
        <row r="2346">
          <cell r="E2346">
            <v>11703791</v>
          </cell>
        </row>
        <row r="2375">
          <cell r="E2375">
            <v>981397.36</v>
          </cell>
        </row>
        <row r="2396">
          <cell r="E2396">
            <v>19646884.46</v>
          </cell>
        </row>
        <row r="2431">
          <cell r="E2431">
            <v>25996626.02</v>
          </cell>
        </row>
        <row r="2467">
          <cell r="E2467">
            <v>1928495.84</v>
          </cell>
        </row>
        <row r="2485">
          <cell r="E2485">
            <v>15000000.090000002</v>
          </cell>
        </row>
        <row r="2507">
          <cell r="E2507">
            <v>2843479.68</v>
          </cell>
        </row>
        <row r="2547">
          <cell r="E2547">
            <v>47001273.09</v>
          </cell>
        </row>
        <row r="2579">
          <cell r="E2579">
            <v>714330</v>
          </cell>
        </row>
        <row r="2593">
          <cell r="E2593">
            <v>35217896.99</v>
          </cell>
        </row>
        <row r="2624">
          <cell r="E2624">
            <v>13357577</v>
          </cell>
        </row>
        <row r="2636">
          <cell r="E2636">
            <v>76963</v>
          </cell>
        </row>
        <row r="2645">
          <cell r="E2645">
            <v>2733999.5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áfico2"/>
      <sheetName val="Gráfico1"/>
      <sheetName val="Hoja2"/>
      <sheetName val="Gráfico3"/>
      <sheetName val="Asientos del Diario"/>
      <sheetName val="Hoja1"/>
    </sheetNames>
    <sheetDataSet>
      <sheetData sheetId="4">
        <row r="29">
          <cell r="E29">
            <v>1311715873.1899996</v>
          </cell>
        </row>
        <row r="85">
          <cell r="E85">
            <v>2619484.9899999998</v>
          </cell>
        </row>
        <row r="105">
          <cell r="E105">
            <v>14873934.299999999</v>
          </cell>
        </row>
        <row r="129">
          <cell r="E129">
            <v>5678635.479999999</v>
          </cell>
        </row>
        <row r="159">
          <cell r="E159">
            <v>898759968.18</v>
          </cell>
        </row>
        <row r="189">
          <cell r="E189">
            <v>687014131.8699999</v>
          </cell>
        </row>
        <row r="195">
          <cell r="E195">
            <v>298440787.38</v>
          </cell>
        </row>
        <row r="201">
          <cell r="E201">
            <v>278810865</v>
          </cell>
        </row>
        <row r="279">
          <cell r="E279">
            <v>366957640.75999993</v>
          </cell>
        </row>
        <row r="297">
          <cell r="E297">
            <v>330334088</v>
          </cell>
        </row>
        <row r="314">
          <cell r="E314">
            <v>17855868</v>
          </cell>
        </row>
        <row r="334">
          <cell r="E334">
            <v>179847996</v>
          </cell>
        </row>
        <row r="354">
          <cell r="E354">
            <v>53567734</v>
          </cell>
        </row>
        <row r="373">
          <cell r="E373">
            <v>107135352</v>
          </cell>
        </row>
        <row r="395">
          <cell r="E395">
            <v>140844461.60999998</v>
          </cell>
        </row>
        <row r="503">
          <cell r="E503">
            <v>39054636.4</v>
          </cell>
        </row>
        <row r="521">
          <cell r="E521">
            <v>35100</v>
          </cell>
        </row>
        <row r="593">
          <cell r="E593">
            <v>14647542.96</v>
          </cell>
        </row>
        <row r="686">
          <cell r="E686">
            <v>21334862.59</v>
          </cell>
        </row>
        <row r="712">
          <cell r="E712">
            <v>8092995</v>
          </cell>
        </row>
        <row r="795">
          <cell r="E795">
            <v>54719940.00999999</v>
          </cell>
        </row>
        <row r="838">
          <cell r="E838">
            <v>2386826.1799999997</v>
          </cell>
        </row>
        <row r="874">
          <cell r="E874">
            <v>2636981.64</v>
          </cell>
        </row>
        <row r="915">
          <cell r="E915">
            <v>3687080.63</v>
          </cell>
        </row>
        <row r="930">
          <cell r="E930">
            <v>33608</v>
          </cell>
        </row>
        <row r="955">
          <cell r="E955">
            <v>3147181.4</v>
          </cell>
        </row>
        <row r="974">
          <cell r="E974">
            <v>13306753.93</v>
          </cell>
        </row>
        <row r="981">
          <cell r="E981">
            <v>17520</v>
          </cell>
        </row>
        <row r="990">
          <cell r="E990">
            <v>8050000</v>
          </cell>
        </row>
        <row r="1108">
          <cell r="E1108">
            <v>105876398.51</v>
          </cell>
        </row>
        <row r="1170">
          <cell r="E1170">
            <v>5874427.32</v>
          </cell>
        </row>
        <row r="1223">
          <cell r="E1223">
            <v>1718508</v>
          </cell>
        </row>
        <row r="1427">
          <cell r="E1427">
            <v>21709015.93</v>
          </cell>
        </row>
        <row r="1439">
          <cell r="E1439">
            <v>2859552.34</v>
          </cell>
        </row>
        <row r="1459">
          <cell r="E1459">
            <v>1866550.74</v>
          </cell>
        </row>
        <row r="1495">
          <cell r="E1495">
            <v>36692844</v>
          </cell>
        </row>
        <row r="1542">
          <cell r="E1542">
            <v>6281791.04</v>
          </cell>
        </row>
        <row r="1579">
          <cell r="E1579">
            <v>4440217</v>
          </cell>
        </row>
        <row r="1590">
          <cell r="E1590">
            <v>172203.22</v>
          </cell>
        </row>
        <row r="1616">
          <cell r="E1616">
            <v>15347506.88</v>
          </cell>
        </row>
        <row r="1632">
          <cell r="E1632">
            <v>4522569.48</v>
          </cell>
        </row>
        <row r="1761">
          <cell r="E1761">
            <v>5843905.58</v>
          </cell>
        </row>
        <row r="1807">
          <cell r="E1807">
            <v>3083807.86</v>
          </cell>
        </row>
        <row r="1826">
          <cell r="E1826">
            <v>1499275.02</v>
          </cell>
        </row>
        <row r="1834">
          <cell r="E1834">
            <v>72375.02</v>
          </cell>
        </row>
        <row r="1843">
          <cell r="E1843">
            <v>485009</v>
          </cell>
        </row>
        <row r="1859">
          <cell r="E1859">
            <v>150000</v>
          </cell>
        </row>
        <row r="1892">
          <cell r="E1892">
            <v>11919558</v>
          </cell>
        </row>
        <row r="1911">
          <cell r="E1911">
            <v>1485107.65</v>
          </cell>
        </row>
        <row r="1956">
          <cell r="E1956">
            <v>7226157.639999999</v>
          </cell>
        </row>
        <row r="1971">
          <cell r="E1971">
            <v>186090</v>
          </cell>
        </row>
        <row r="2006">
          <cell r="E2006">
            <v>1748341</v>
          </cell>
        </row>
        <row r="2031">
          <cell r="E2031">
            <v>196038.13999999998</v>
          </cell>
        </row>
        <row r="2046">
          <cell r="E2046">
            <v>82270</v>
          </cell>
        </row>
        <row r="2058">
          <cell r="E2058">
            <v>85641.35</v>
          </cell>
        </row>
        <row r="2096">
          <cell r="E2096">
            <v>821418.26</v>
          </cell>
        </row>
        <row r="2122">
          <cell r="E2122">
            <v>290151.69999999995</v>
          </cell>
        </row>
        <row r="2137">
          <cell r="E2137">
            <v>89509.5</v>
          </cell>
        </row>
        <row r="2159">
          <cell r="E2159">
            <v>1005398</v>
          </cell>
        </row>
        <row r="2195">
          <cell r="E2195">
            <v>3963583.6799999997</v>
          </cell>
        </row>
        <row r="2249">
          <cell r="E2249">
            <v>1794730.4099999997</v>
          </cell>
        </row>
        <row r="2264">
          <cell r="E2264">
            <v>265998</v>
          </cell>
        </row>
        <row r="2319">
          <cell r="E2319">
            <v>8237278.149999999</v>
          </cell>
        </row>
        <row r="2340">
          <cell r="E2340">
            <v>690412.11</v>
          </cell>
        </row>
        <row r="2367">
          <cell r="E2367">
            <v>755453</v>
          </cell>
        </row>
        <row r="2380">
          <cell r="E2380">
            <v>190884.9</v>
          </cell>
        </row>
        <row r="2411">
          <cell r="E2411">
            <v>142909.99</v>
          </cell>
        </row>
        <row r="2448">
          <cell r="E2448">
            <v>1983904.2</v>
          </cell>
        </row>
        <row r="2469">
          <cell r="E2469">
            <v>5981228.7</v>
          </cell>
        </row>
        <row r="2518">
          <cell r="E2518">
            <v>92000</v>
          </cell>
        </row>
        <row r="2540">
          <cell r="E2540">
            <v>4572788</v>
          </cell>
        </row>
        <row r="2578">
          <cell r="E2578">
            <v>6535000</v>
          </cell>
        </row>
        <row r="2591">
          <cell r="E2591">
            <v>17069563.77</v>
          </cell>
        </row>
        <row r="2631">
          <cell r="E2631">
            <v>72720585.88</v>
          </cell>
        </row>
        <row r="2674">
          <cell r="E2674">
            <v>2249580</v>
          </cell>
        </row>
        <row r="2688">
          <cell r="E2688">
            <v>27573749.9</v>
          </cell>
        </row>
        <row r="2719">
          <cell r="E2719">
            <v>10524531</v>
          </cell>
        </row>
        <row r="2731">
          <cell r="E2731">
            <v>165000</v>
          </cell>
        </row>
        <row r="2740">
          <cell r="E2740">
            <v>2949997.32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5"/>
  <sheetViews>
    <sheetView tabSelected="1" zoomScalePageLayoutView="0" workbookViewId="0" topLeftCell="N136">
      <selection activeCell="T164" sqref="T164"/>
    </sheetView>
  </sheetViews>
  <sheetFormatPr defaultColWidth="11.421875" defaultRowHeight="12.75"/>
  <cols>
    <col min="1" max="1" width="5.8515625" style="0" customWidth="1"/>
    <col min="2" max="2" width="70.28125" style="0" customWidth="1"/>
    <col min="3" max="3" width="18.57421875" style="0" customWidth="1"/>
    <col min="4" max="4" width="19.00390625" style="0" customWidth="1"/>
    <col min="5" max="5" width="23.28125" style="0" customWidth="1"/>
    <col min="6" max="6" width="16.140625" style="0" customWidth="1"/>
    <col min="7" max="7" width="21.57421875" style="0" customWidth="1"/>
    <col min="8" max="8" width="19.57421875" style="0" customWidth="1"/>
    <col min="9" max="9" width="20.8515625" style="0" customWidth="1"/>
    <col min="10" max="10" width="16.421875" style="0" customWidth="1"/>
    <col min="11" max="11" width="19.00390625" style="0" customWidth="1"/>
    <col min="12" max="12" width="19.28125" style="0" customWidth="1"/>
    <col min="13" max="13" width="21.28125" style="0" customWidth="1"/>
    <col min="14" max="14" width="18.7109375" style="0" customWidth="1"/>
    <col min="15" max="16" width="20.7109375" style="0" customWidth="1"/>
    <col min="17" max="17" width="21.00390625" style="0" customWidth="1"/>
    <col min="18" max="18" width="13.421875" style="0" customWidth="1"/>
    <col min="19" max="19" width="20.28125" style="0" customWidth="1"/>
    <col min="20" max="20" width="23.28125" style="0" customWidth="1"/>
    <col min="21" max="21" width="21.28125" style="0" customWidth="1"/>
    <col min="22" max="22" width="18.28125" style="0" customWidth="1"/>
  </cols>
  <sheetData>
    <row r="1" ht="23.25">
      <c r="A1" s="2" t="s">
        <v>154</v>
      </c>
    </row>
    <row r="2" ht="23.25">
      <c r="A2" s="2" t="s">
        <v>155</v>
      </c>
    </row>
    <row r="3" ht="23.25">
      <c r="A3" s="2" t="s">
        <v>166</v>
      </c>
    </row>
    <row r="4" ht="23.25">
      <c r="A4" s="2"/>
    </row>
    <row r="5" ht="23.25">
      <c r="A5" s="2" t="s">
        <v>157</v>
      </c>
    </row>
    <row r="6" ht="24" thickBot="1">
      <c r="A6" s="2"/>
    </row>
    <row r="7" spans="1:22" ht="23.25">
      <c r="A7" s="2" t="s">
        <v>116</v>
      </c>
      <c r="C7" s="61" t="s">
        <v>159</v>
      </c>
      <c r="D7" s="62"/>
      <c r="E7" s="62"/>
      <c r="F7" s="63"/>
      <c r="G7" s="64" t="s">
        <v>160</v>
      </c>
      <c r="H7" s="65"/>
      <c r="I7" s="65"/>
      <c r="J7" s="66"/>
      <c r="K7" s="67" t="s">
        <v>164</v>
      </c>
      <c r="L7" s="68"/>
      <c r="M7" s="68"/>
      <c r="N7" s="69"/>
      <c r="O7" s="70" t="s">
        <v>165</v>
      </c>
      <c r="P7" s="71"/>
      <c r="Q7" s="71"/>
      <c r="R7" s="72"/>
      <c r="S7" s="73" t="s">
        <v>167</v>
      </c>
      <c r="T7" s="74"/>
      <c r="U7" s="74"/>
      <c r="V7" s="75"/>
    </row>
    <row r="8" spans="2:22" ht="24" thickBot="1">
      <c r="B8" s="2"/>
      <c r="C8" s="13" t="s">
        <v>158</v>
      </c>
      <c r="D8" s="14" t="s">
        <v>152</v>
      </c>
      <c r="E8" s="14" t="s">
        <v>153</v>
      </c>
      <c r="F8" s="15" t="s">
        <v>151</v>
      </c>
      <c r="G8" s="16" t="s">
        <v>158</v>
      </c>
      <c r="H8" s="17" t="s">
        <v>152</v>
      </c>
      <c r="I8" s="17" t="s">
        <v>153</v>
      </c>
      <c r="J8" s="18" t="s">
        <v>151</v>
      </c>
      <c r="K8" s="37" t="s">
        <v>158</v>
      </c>
      <c r="L8" s="38" t="s">
        <v>152</v>
      </c>
      <c r="M8" s="38" t="s">
        <v>153</v>
      </c>
      <c r="N8" s="39" t="s">
        <v>151</v>
      </c>
      <c r="O8" s="49" t="s">
        <v>158</v>
      </c>
      <c r="P8" s="50" t="s">
        <v>152</v>
      </c>
      <c r="Q8" s="50" t="s">
        <v>153</v>
      </c>
      <c r="R8" s="51" t="s">
        <v>151</v>
      </c>
      <c r="S8" s="76" t="s">
        <v>158</v>
      </c>
      <c r="T8" s="77" t="s">
        <v>152</v>
      </c>
      <c r="U8" s="77" t="s">
        <v>153</v>
      </c>
      <c r="V8" s="78" t="s">
        <v>151</v>
      </c>
    </row>
    <row r="9" spans="1:22" s="5" customFormat="1" ht="16.5" thickBot="1">
      <c r="A9" s="3" t="s">
        <v>117</v>
      </c>
      <c r="B9" s="4" t="s">
        <v>0</v>
      </c>
      <c r="C9" s="12">
        <f>SUM(C11:C34)</f>
        <v>4877268000</v>
      </c>
      <c r="D9" s="12">
        <f>SUM(D11:D34)</f>
        <v>4538884718.72</v>
      </c>
      <c r="E9" s="30">
        <f>SUM(E11:E34)</f>
        <v>338383281.28000015</v>
      </c>
      <c r="F9" s="31">
        <f>+D9/C9*100</f>
        <v>93.06203224264075</v>
      </c>
      <c r="G9" s="28">
        <f>SUM(G10:G34)</f>
        <v>5026139014</v>
      </c>
      <c r="H9" s="28">
        <f>SUM(H10:H34)</f>
        <v>4622488352.86</v>
      </c>
      <c r="I9" s="28">
        <f>SUM(I10:I34)</f>
        <v>403650661.13999987</v>
      </c>
      <c r="J9" s="29">
        <f>+H9/G9*100</f>
        <v>91.96897141094473</v>
      </c>
      <c r="K9" s="40">
        <f>SUM(K10:K34)</f>
        <v>5150129814</v>
      </c>
      <c r="L9" s="40">
        <f>SUM(L10:L34)</f>
        <v>4734804640.69</v>
      </c>
      <c r="M9" s="40">
        <f>SUM(M10:M34)</f>
        <v>415325173.31000006</v>
      </c>
      <c r="N9" s="41">
        <f>+L9/K9*100</f>
        <v>91.93563680315418</v>
      </c>
      <c r="O9" s="52">
        <f>SUM(O11:O32)</f>
        <v>5278640622.71</v>
      </c>
      <c r="P9" s="52">
        <f>SUM(P11:P32)</f>
        <v>4764440413.33</v>
      </c>
      <c r="Q9" s="52">
        <f>SUM(Q11:Q32)</f>
        <v>514200209.3799999</v>
      </c>
      <c r="R9" s="53">
        <f>+P9/O9*100</f>
        <v>90.25885173603626</v>
      </c>
      <c r="S9" s="79">
        <f>SUM(S11:S32)</f>
        <v>5601290000</v>
      </c>
      <c r="T9" s="79">
        <f>SUM(T11:T32)</f>
        <v>4694456820.759999</v>
      </c>
      <c r="U9" s="79">
        <f>SUM(U11:U32)</f>
        <v>906833179.2400006</v>
      </c>
      <c r="V9" s="80">
        <f>+T9/S9*100</f>
        <v>83.81027978840588</v>
      </c>
    </row>
    <row r="10" spans="1:22" s="5" customFormat="1" ht="12">
      <c r="A10" s="6" t="s">
        <v>1</v>
      </c>
      <c r="B10" s="7" t="s">
        <v>92</v>
      </c>
      <c r="C10" s="22" t="s">
        <v>116</v>
      </c>
      <c r="D10" s="21"/>
      <c r="E10" s="21"/>
      <c r="F10" s="24"/>
      <c r="G10" s="25" t="s">
        <v>116</v>
      </c>
      <c r="H10" s="26"/>
      <c r="I10" s="26"/>
      <c r="J10" s="27"/>
      <c r="K10" s="42"/>
      <c r="L10" s="42"/>
      <c r="M10" s="42"/>
      <c r="N10" s="42"/>
      <c r="O10" s="54" t="s">
        <v>116</v>
      </c>
      <c r="P10" s="54"/>
      <c r="Q10" s="54"/>
      <c r="R10" s="54"/>
      <c r="S10" s="81"/>
      <c r="T10" s="81"/>
      <c r="U10" s="81"/>
      <c r="V10" s="81"/>
    </row>
    <row r="11" spans="1:22" s="5" customFormat="1" ht="12">
      <c r="A11" s="8">
        <v>101</v>
      </c>
      <c r="B11" s="5" t="s">
        <v>2</v>
      </c>
      <c r="C11" s="22">
        <v>1418591000</v>
      </c>
      <c r="D11" s="22">
        <f>+'[1]Asientos del Diario'!$E$29</f>
        <v>1348969147.35</v>
      </c>
      <c r="E11" s="22">
        <f>+C11-D11</f>
        <v>69621852.6500001</v>
      </c>
      <c r="F11" s="21"/>
      <c r="G11" s="20">
        <f>1477400818-13894776+19069922-22500000</f>
        <v>1460075964</v>
      </c>
      <c r="H11" s="20">
        <f>+'[2]Asientos del Diario'!$E$29</f>
        <v>1364558580.63</v>
      </c>
      <c r="I11" s="20">
        <f>+G11-H11</f>
        <v>95517383.36999989</v>
      </c>
      <c r="J11" s="19"/>
      <c r="K11" s="43">
        <v>1514277000</v>
      </c>
      <c r="L11" s="43">
        <v>1344815707.31</v>
      </c>
      <c r="M11" s="44">
        <f>+K11-L11</f>
        <v>169461292.69000006</v>
      </c>
      <c r="N11" s="42"/>
      <c r="O11" s="55">
        <v>1479087250</v>
      </c>
      <c r="P11" s="55">
        <v>1325118335.2</v>
      </c>
      <c r="Q11" s="56">
        <v>153968914.79999995</v>
      </c>
      <c r="R11" s="54"/>
      <c r="S11" s="82">
        <f>1564035000+2000000</f>
        <v>1566035000</v>
      </c>
      <c r="T11" s="82">
        <f>+'[3]Asientos del Diario'!$E$29</f>
        <v>1311715873.1899996</v>
      </c>
      <c r="U11" s="82">
        <f>+S11-T11</f>
        <v>254319126.81000042</v>
      </c>
      <c r="V11" s="81"/>
    </row>
    <row r="12" spans="1:22" s="5" customFormat="1" ht="12">
      <c r="A12" s="8">
        <v>103</v>
      </c>
      <c r="B12" s="5" t="s">
        <v>3</v>
      </c>
      <c r="C12" s="22">
        <v>0</v>
      </c>
      <c r="D12" s="22"/>
      <c r="E12" s="22">
        <f aca="true" t="shared" si="0" ref="E12:E76">+C12-D12</f>
        <v>0</v>
      </c>
      <c r="F12" s="21"/>
      <c r="G12" s="20">
        <v>0</v>
      </c>
      <c r="H12" s="34">
        <v>0</v>
      </c>
      <c r="I12" s="20">
        <f aca="true" t="shared" si="1" ref="I12:I75">+G12-H12</f>
        <v>0</v>
      </c>
      <c r="J12" s="19"/>
      <c r="K12" s="43">
        <v>0</v>
      </c>
      <c r="L12" s="43"/>
      <c r="M12" s="44">
        <f aca="true" t="shared" si="2" ref="M12:M75">+K12-L12</f>
        <v>0</v>
      </c>
      <c r="N12" s="42"/>
      <c r="O12" s="55">
        <v>0</v>
      </c>
      <c r="P12" s="55"/>
      <c r="Q12" s="56">
        <v>0</v>
      </c>
      <c r="R12" s="54"/>
      <c r="S12" s="82">
        <v>0</v>
      </c>
      <c r="T12" s="83"/>
      <c r="U12" s="82">
        <f>+S12-T12</f>
        <v>0</v>
      </c>
      <c r="V12" s="81"/>
    </row>
    <row r="13" spans="1:22" s="5" customFormat="1" ht="12">
      <c r="A13" s="8">
        <v>105</v>
      </c>
      <c r="B13" s="5" t="s">
        <v>4</v>
      </c>
      <c r="C13" s="22">
        <f>15000000+2669058+6000000+3500000-3000000</f>
        <v>24169058</v>
      </c>
      <c r="D13" s="22">
        <f>+'[1]Asientos del Diario'!$E$85</f>
        <v>18260605.119999997</v>
      </c>
      <c r="E13" s="22">
        <f t="shared" si="0"/>
        <v>5908452.880000003</v>
      </c>
      <c r="F13" s="21"/>
      <c r="G13" s="20">
        <f>2000000+4000000</f>
        <v>6000000</v>
      </c>
      <c r="H13" s="20">
        <f>+'[2]Asientos del Diario'!$E$85</f>
        <v>1505295</v>
      </c>
      <c r="I13" s="20">
        <f t="shared" si="1"/>
        <v>4494705</v>
      </c>
      <c r="J13" s="19"/>
      <c r="K13" s="43">
        <v>4000000</v>
      </c>
      <c r="L13" s="43"/>
      <c r="M13" s="44">
        <f t="shared" si="2"/>
        <v>4000000</v>
      </c>
      <c r="N13" s="42"/>
      <c r="O13" s="55">
        <v>1500000</v>
      </c>
      <c r="P13" s="55"/>
      <c r="Q13" s="56">
        <v>1500000</v>
      </c>
      <c r="R13" s="54"/>
      <c r="S13" s="82">
        <f>2500000+1000000+3000000</f>
        <v>6500000</v>
      </c>
      <c r="T13" s="82">
        <f>+'[3]Asientos del Diario'!$E$85</f>
        <v>2619484.9899999998</v>
      </c>
      <c r="U13" s="82">
        <f>+S13-T13</f>
        <v>3880515.0100000002</v>
      </c>
      <c r="V13" s="81"/>
    </row>
    <row r="14" spans="1:22" s="5" customFormat="1" ht="12">
      <c r="A14" s="6" t="s">
        <v>5</v>
      </c>
      <c r="B14" s="7" t="s">
        <v>6</v>
      </c>
      <c r="C14" s="22"/>
      <c r="D14" s="21"/>
      <c r="E14" s="22">
        <f t="shared" si="0"/>
        <v>0</v>
      </c>
      <c r="F14" s="21"/>
      <c r="G14" s="20"/>
      <c r="H14" s="19"/>
      <c r="I14" s="20">
        <f t="shared" si="1"/>
        <v>0</v>
      </c>
      <c r="J14" s="19"/>
      <c r="K14" s="43"/>
      <c r="L14" s="43"/>
      <c r="M14" s="44">
        <f t="shared" si="2"/>
        <v>0</v>
      </c>
      <c r="N14" s="42"/>
      <c r="O14" s="55"/>
      <c r="P14" s="55"/>
      <c r="Q14" s="56">
        <v>0</v>
      </c>
      <c r="R14" s="54"/>
      <c r="S14" s="82"/>
      <c r="T14" s="81"/>
      <c r="U14" s="82">
        <f aca="true" t="shared" si="3" ref="U14:U76">+S14-T14</f>
        <v>0</v>
      </c>
      <c r="V14" s="81"/>
    </row>
    <row r="15" spans="1:22" s="5" customFormat="1" ht="12">
      <c r="A15" s="8">
        <v>201</v>
      </c>
      <c r="B15" s="5" t="s">
        <v>93</v>
      </c>
      <c r="C15" s="22">
        <v>10000000</v>
      </c>
      <c r="D15" s="22">
        <f>+'[1]Asientos del Diario'!$E$105</f>
        <v>9992805.87</v>
      </c>
      <c r="E15" s="22">
        <f t="shared" si="0"/>
        <v>7194.13000000082</v>
      </c>
      <c r="F15" s="21"/>
      <c r="G15" s="20">
        <f>8000000+3751594+3000000+1500000</f>
        <v>16251594</v>
      </c>
      <c r="H15" s="20">
        <f>+'[2]Asientos del Diario'!$E$105</f>
        <v>15193738.76</v>
      </c>
      <c r="I15" s="20">
        <f t="shared" si="1"/>
        <v>1057855.2400000002</v>
      </c>
      <c r="J15" s="19"/>
      <c r="K15" s="43">
        <v>17000000</v>
      </c>
      <c r="L15" s="43">
        <v>16745724.45</v>
      </c>
      <c r="M15" s="44">
        <f t="shared" si="2"/>
        <v>254275.55000000075</v>
      </c>
      <c r="N15" s="42"/>
      <c r="O15" s="55">
        <v>14800000</v>
      </c>
      <c r="P15" s="55">
        <v>14799590.739999998</v>
      </c>
      <c r="Q15" s="56">
        <v>409.2600000016391</v>
      </c>
      <c r="R15" s="54"/>
      <c r="S15" s="82">
        <f>10000000+5300000+2500000</f>
        <v>17800000</v>
      </c>
      <c r="T15" s="82">
        <f>+'[3]Asientos del Diario'!$E$105</f>
        <v>14873934.299999999</v>
      </c>
      <c r="U15" s="82">
        <f t="shared" si="3"/>
        <v>2926065.700000001</v>
      </c>
      <c r="V15" s="81"/>
    </row>
    <row r="16" spans="1:22" s="5" customFormat="1" ht="12">
      <c r="A16" s="8">
        <v>202</v>
      </c>
      <c r="B16" s="5" t="s">
        <v>147</v>
      </c>
      <c r="C16" s="22">
        <f>5000000-4000000</f>
        <v>1000000</v>
      </c>
      <c r="D16" s="22">
        <f>+'[1]Asientos del Diario'!$E$121</f>
        <v>0</v>
      </c>
      <c r="E16" s="22">
        <f t="shared" si="0"/>
        <v>1000000</v>
      </c>
      <c r="F16" s="21"/>
      <c r="G16" s="20">
        <f>49086+1000000</f>
        <v>1049086</v>
      </c>
      <c r="H16" s="20">
        <f>+'[2]Asientos del Diario'!$E$121</f>
        <v>441500</v>
      </c>
      <c r="I16" s="20">
        <f t="shared" si="1"/>
        <v>607586</v>
      </c>
      <c r="J16" s="19"/>
      <c r="K16" s="43">
        <v>1000000</v>
      </c>
      <c r="L16" s="43"/>
      <c r="M16" s="44">
        <f t="shared" si="2"/>
        <v>1000000</v>
      </c>
      <c r="N16" s="42"/>
      <c r="O16" s="55">
        <v>0</v>
      </c>
      <c r="P16" s="55"/>
      <c r="Q16" s="56">
        <v>0</v>
      </c>
      <c r="R16" s="54"/>
      <c r="S16" s="82">
        <v>7200000</v>
      </c>
      <c r="T16" s="82">
        <f>+'[3]Asientos del Diario'!$E$129</f>
        <v>5678635.479999999</v>
      </c>
      <c r="U16" s="82">
        <f t="shared" si="3"/>
        <v>1521364.5200000014</v>
      </c>
      <c r="V16" s="81"/>
    </row>
    <row r="17" spans="1:22" s="5" customFormat="1" ht="12">
      <c r="A17" s="8">
        <v>203</v>
      </c>
      <c r="B17" s="5" t="s">
        <v>7</v>
      </c>
      <c r="C17" s="22">
        <f>100000-100000</f>
        <v>0</v>
      </c>
      <c r="D17" s="21"/>
      <c r="E17" s="22">
        <f t="shared" si="0"/>
        <v>0</v>
      </c>
      <c r="F17" s="21"/>
      <c r="G17" s="20">
        <f>100000-100000</f>
        <v>0</v>
      </c>
      <c r="H17" s="19"/>
      <c r="I17" s="20">
        <f t="shared" si="1"/>
        <v>0</v>
      </c>
      <c r="J17" s="19"/>
      <c r="K17" s="43">
        <v>0</v>
      </c>
      <c r="L17" s="43"/>
      <c r="M17" s="44">
        <f t="shared" si="2"/>
        <v>0</v>
      </c>
      <c r="N17" s="42"/>
      <c r="O17" s="55">
        <v>0</v>
      </c>
      <c r="P17" s="55"/>
      <c r="Q17" s="56">
        <v>0</v>
      </c>
      <c r="R17" s="54"/>
      <c r="S17" s="82"/>
      <c r="T17" s="81"/>
      <c r="U17" s="82">
        <f t="shared" si="3"/>
        <v>0</v>
      </c>
      <c r="V17" s="81"/>
    </row>
    <row r="18" spans="1:22" s="5" customFormat="1" ht="12">
      <c r="A18" s="6" t="s">
        <v>8</v>
      </c>
      <c r="B18" s="7" t="s">
        <v>9</v>
      </c>
      <c r="C18" s="22"/>
      <c r="D18" s="21"/>
      <c r="E18" s="22">
        <f t="shared" si="0"/>
        <v>0</v>
      </c>
      <c r="F18" s="21"/>
      <c r="G18" s="20"/>
      <c r="H18" s="19"/>
      <c r="I18" s="20">
        <f t="shared" si="1"/>
        <v>0</v>
      </c>
      <c r="J18" s="19"/>
      <c r="K18" s="43"/>
      <c r="L18" s="43"/>
      <c r="M18" s="44">
        <f t="shared" si="2"/>
        <v>0</v>
      </c>
      <c r="N18" s="42"/>
      <c r="O18" s="55"/>
      <c r="P18" s="55"/>
      <c r="Q18" s="56">
        <v>0</v>
      </c>
      <c r="R18" s="54"/>
      <c r="S18" s="82"/>
      <c r="T18" s="81"/>
      <c r="U18" s="82">
        <f t="shared" si="3"/>
        <v>0</v>
      </c>
      <c r="V18" s="81"/>
    </row>
    <row r="19" spans="1:22" s="5" customFormat="1" ht="12">
      <c r="A19" s="8">
        <v>301</v>
      </c>
      <c r="B19" s="5" t="s">
        <v>10</v>
      </c>
      <c r="C19" s="22">
        <f>884106000-10500000</f>
        <v>873606000</v>
      </c>
      <c r="D19" s="22">
        <f>+'[1]Asientos del Diario'!$E$151</f>
        <v>780439460.49</v>
      </c>
      <c r="E19" s="22">
        <f t="shared" si="0"/>
        <v>93166539.50999999</v>
      </c>
      <c r="F19" s="21"/>
      <c r="G19" s="20">
        <f>910598438-7144490+10211024-12000000</f>
        <v>901664972</v>
      </c>
      <c r="H19" s="20">
        <f>+'[2]Asientos del Diario'!$E$151</f>
        <v>819960545.97</v>
      </c>
      <c r="I19" s="20">
        <f t="shared" si="1"/>
        <v>81704426.02999997</v>
      </c>
      <c r="J19" s="19"/>
      <c r="K19" s="43">
        <v>890824000</v>
      </c>
      <c r="L19" s="43">
        <v>871958196.2500001</v>
      </c>
      <c r="M19" s="44">
        <f t="shared" si="2"/>
        <v>18865803.74999988</v>
      </c>
      <c r="N19" s="42"/>
      <c r="O19" s="55">
        <v>1015650000</v>
      </c>
      <c r="P19" s="55">
        <v>909676306</v>
      </c>
      <c r="Q19" s="56">
        <v>105973694</v>
      </c>
      <c r="R19" s="54"/>
      <c r="S19" s="82">
        <f>1099301000-9000000</f>
        <v>1090301000</v>
      </c>
      <c r="T19" s="82">
        <f>+'[3]Asientos del Diario'!$E$159</f>
        <v>898759968.18</v>
      </c>
      <c r="U19" s="82">
        <f t="shared" si="3"/>
        <v>191541031.82000005</v>
      </c>
      <c r="V19" s="81"/>
    </row>
    <row r="20" spans="1:22" s="5" customFormat="1" ht="12">
      <c r="A20" s="8">
        <v>302</v>
      </c>
      <c r="B20" s="5" t="s">
        <v>111</v>
      </c>
      <c r="C20" s="22">
        <f>771036000-6000000-3500000</f>
        <v>761536000</v>
      </c>
      <c r="D20" s="22">
        <f>+'[1]Asientos del Diario'!$E$181</f>
        <v>710273882.91</v>
      </c>
      <c r="E20" s="22">
        <f t="shared" si="0"/>
        <v>51262117.09000003</v>
      </c>
      <c r="F20" s="21"/>
      <c r="G20" s="20">
        <f>810393597-5000000-8000000-8824839+13278660-5500000-12000000</f>
        <v>784347418</v>
      </c>
      <c r="H20" s="20">
        <f>+'[2]Asientos del Diario'!$E$181</f>
        <v>731883460.19</v>
      </c>
      <c r="I20" s="20">
        <f t="shared" si="1"/>
        <v>52463957.80999994</v>
      </c>
      <c r="J20" s="19"/>
      <c r="K20" s="43">
        <v>787836000</v>
      </c>
      <c r="L20" s="43">
        <v>725501036.6899999</v>
      </c>
      <c r="M20" s="44">
        <f t="shared" si="2"/>
        <v>62334963.31000006</v>
      </c>
      <c r="N20" s="42"/>
      <c r="O20" s="55">
        <v>797680000</v>
      </c>
      <c r="P20" s="55">
        <v>715843216.5100001</v>
      </c>
      <c r="Q20" s="56">
        <v>81836783.48999989</v>
      </c>
      <c r="R20" s="54"/>
      <c r="S20" s="82">
        <f>873248000-13500000</f>
        <v>859748000</v>
      </c>
      <c r="T20" s="82">
        <f>+'[3]Asientos del Diario'!$E$189</f>
        <v>687014131.8699999</v>
      </c>
      <c r="U20" s="82">
        <f>+S20-T20</f>
        <v>172733868.1300001</v>
      </c>
      <c r="V20" s="81"/>
    </row>
    <row r="21" spans="1:22" s="5" customFormat="1" ht="12">
      <c r="A21" s="8">
        <v>303</v>
      </c>
      <c r="B21" s="5" t="s">
        <v>11</v>
      </c>
      <c r="C21" s="22">
        <v>292613000</v>
      </c>
      <c r="D21" s="22">
        <f>+'[1]Asientos del Diario'!$E$187</f>
        <v>287230326.34</v>
      </c>
      <c r="E21" s="22">
        <f t="shared" si="0"/>
        <v>5382673.660000026</v>
      </c>
      <c r="F21" s="21"/>
      <c r="G21" s="20">
        <f>315046950-2789004+3828222-12000000</f>
        <v>304086168</v>
      </c>
      <c r="H21" s="20">
        <f>+'[2]Asientos del Diario'!$E$187</f>
        <v>296133576</v>
      </c>
      <c r="I21" s="20">
        <f t="shared" si="1"/>
        <v>7952592</v>
      </c>
      <c r="J21" s="19"/>
      <c r="K21" s="43">
        <v>332100000</v>
      </c>
      <c r="L21" s="43">
        <v>299512108.69</v>
      </c>
      <c r="M21" s="44">
        <f t="shared" si="2"/>
        <v>32587891.310000002</v>
      </c>
      <c r="N21" s="42"/>
      <c r="O21" s="55">
        <v>329120000</v>
      </c>
      <c r="P21" s="55">
        <v>302324475</v>
      </c>
      <c r="Q21" s="56">
        <v>26795525</v>
      </c>
      <c r="R21" s="54"/>
      <c r="S21" s="82">
        <v>341650000</v>
      </c>
      <c r="T21" s="82">
        <f>+'[3]Asientos del Diario'!$E$195</f>
        <v>298440787.38</v>
      </c>
      <c r="U21" s="82">
        <f t="shared" si="3"/>
        <v>43209212.620000005</v>
      </c>
      <c r="V21" s="81"/>
    </row>
    <row r="22" spans="1:22" s="5" customFormat="1" ht="12">
      <c r="A22" s="8">
        <v>304</v>
      </c>
      <c r="B22" s="5" t="s">
        <v>12</v>
      </c>
      <c r="C22" s="22">
        <f>250500000-2669058</f>
        <v>247830942</v>
      </c>
      <c r="D22" s="22">
        <f>+'[1]Asientos del Diario'!$E$193</f>
        <v>247830942</v>
      </c>
      <c r="E22" s="22">
        <f t="shared" si="0"/>
        <v>0</v>
      </c>
      <c r="F22" s="21"/>
      <c r="G22" s="20">
        <f>270000000-5751594</f>
        <v>264248406</v>
      </c>
      <c r="H22" s="20">
        <f>+'[2]Asientos del Diario'!$E$193</f>
        <v>264248406</v>
      </c>
      <c r="I22" s="20">
        <f t="shared" si="1"/>
        <v>0</v>
      </c>
      <c r="J22" s="19"/>
      <c r="K22" s="43">
        <v>272023814</v>
      </c>
      <c r="L22" s="43">
        <v>272023813.53</v>
      </c>
      <c r="M22" s="44">
        <f t="shared" si="2"/>
        <v>0.4700000286102295</v>
      </c>
      <c r="N22" s="42"/>
      <c r="O22" s="55">
        <v>275515952.71</v>
      </c>
      <c r="P22" s="55">
        <v>275515952.71</v>
      </c>
      <c r="Q22" s="56">
        <v>0</v>
      </c>
      <c r="R22" s="54"/>
      <c r="S22" s="82">
        <v>283140000</v>
      </c>
      <c r="T22" s="82">
        <f>+'[3]Asientos del Diario'!$E$201</f>
        <v>278810865</v>
      </c>
      <c r="U22" s="82">
        <f t="shared" si="3"/>
        <v>4329135</v>
      </c>
      <c r="V22" s="81"/>
    </row>
    <row r="23" spans="1:22" s="5" customFormat="1" ht="12">
      <c r="A23" s="8">
        <v>399</v>
      </c>
      <c r="B23" s="5" t="s">
        <v>13</v>
      </c>
      <c r="C23" s="22">
        <v>402019000</v>
      </c>
      <c r="D23" s="22">
        <f>+'[1]Asientos del Diario'!$E$246</f>
        <v>350103606.84999996</v>
      </c>
      <c r="E23" s="22">
        <f t="shared" si="0"/>
        <v>51915393.150000036</v>
      </c>
      <c r="F23" s="21"/>
      <c r="G23" s="20">
        <f>413962466-3603941+3379062-3500000</f>
        <v>410237587</v>
      </c>
      <c r="H23" s="20">
        <f>+'[2]Asientos del Diario'!$E$246</f>
        <v>365975285.83</v>
      </c>
      <c r="I23" s="20">
        <f t="shared" si="1"/>
        <v>44262301.17000002</v>
      </c>
      <c r="J23" s="19"/>
      <c r="K23" s="43">
        <v>421603000</v>
      </c>
      <c r="L23" s="43">
        <v>372297810.82</v>
      </c>
      <c r="M23" s="44">
        <f t="shared" si="2"/>
        <v>49305189.18000001</v>
      </c>
      <c r="N23" s="42"/>
      <c r="O23" s="55">
        <v>426310000</v>
      </c>
      <c r="P23" s="55">
        <v>373836725.26</v>
      </c>
      <c r="Q23" s="56">
        <v>52473274.74000001</v>
      </c>
      <c r="R23" s="54"/>
      <c r="S23" s="82">
        <v>456096000</v>
      </c>
      <c r="T23" s="82">
        <f>+'[3]Asientos del Diario'!$E$279</f>
        <v>366957640.75999993</v>
      </c>
      <c r="U23" s="82">
        <f t="shared" si="3"/>
        <v>89138359.24000007</v>
      </c>
      <c r="V23" s="81"/>
    </row>
    <row r="24" spans="1:22" s="5" customFormat="1" ht="12">
      <c r="A24" s="6" t="s">
        <v>14</v>
      </c>
      <c r="B24" s="7" t="s">
        <v>112</v>
      </c>
      <c r="C24" s="22"/>
      <c r="D24" s="21"/>
      <c r="E24" s="22">
        <f t="shared" si="0"/>
        <v>0</v>
      </c>
      <c r="F24" s="21"/>
      <c r="G24" s="20"/>
      <c r="H24" s="19"/>
      <c r="I24" s="20">
        <f t="shared" si="1"/>
        <v>0</v>
      </c>
      <c r="J24" s="19"/>
      <c r="K24" s="43"/>
      <c r="L24" s="43"/>
      <c r="M24" s="44">
        <f t="shared" si="2"/>
        <v>0</v>
      </c>
      <c r="N24" s="42"/>
      <c r="O24" s="55"/>
      <c r="P24" s="55"/>
      <c r="Q24" s="56">
        <v>0</v>
      </c>
      <c r="R24" s="54"/>
      <c r="S24" s="82"/>
      <c r="T24" s="81"/>
      <c r="U24" s="82">
        <f t="shared" si="3"/>
        <v>0</v>
      </c>
      <c r="V24" s="81"/>
    </row>
    <row r="25" spans="1:22" s="5" customFormat="1" ht="12">
      <c r="A25" s="8">
        <v>401</v>
      </c>
      <c r="B25" s="5" t="s">
        <v>128</v>
      </c>
      <c r="C25" s="22">
        <v>347463000</v>
      </c>
      <c r="D25" s="22">
        <f>+'[1]Asientos del Diario'!$E$264</f>
        <v>320856901</v>
      </c>
      <c r="E25" s="22">
        <f t="shared" si="0"/>
        <v>26606099</v>
      </c>
      <c r="F25" s="21"/>
      <c r="G25" s="20">
        <f>361330955-3095794+4249327-4625000</f>
        <v>357859488</v>
      </c>
      <c r="H25" s="20">
        <f>+'[2]Asientos del Diario'!$E$264</f>
        <v>304229474</v>
      </c>
      <c r="I25" s="20">
        <f t="shared" si="1"/>
        <v>53630014</v>
      </c>
      <c r="J25" s="19"/>
      <c r="K25" s="43">
        <v>368931000</v>
      </c>
      <c r="L25" s="43">
        <v>332586015</v>
      </c>
      <c r="M25" s="44">
        <f t="shared" si="2"/>
        <v>36344985</v>
      </c>
      <c r="N25" s="42"/>
      <c r="O25" s="55">
        <v>377550714</v>
      </c>
      <c r="P25" s="55">
        <v>334582875</v>
      </c>
      <c r="Q25" s="56">
        <v>42967839</v>
      </c>
      <c r="R25" s="54"/>
      <c r="S25" s="82">
        <v>396855000</v>
      </c>
      <c r="T25" s="82">
        <f>+'[3]Asientos del Diario'!$E$297</f>
        <v>330334088</v>
      </c>
      <c r="U25" s="82">
        <f t="shared" si="3"/>
        <v>66520912</v>
      </c>
      <c r="V25" s="81"/>
    </row>
    <row r="26" spans="1:22" s="5" customFormat="1" ht="12">
      <c r="A26" s="8">
        <v>402</v>
      </c>
      <c r="B26" s="5" t="s">
        <v>113</v>
      </c>
      <c r="C26" s="22">
        <v>0</v>
      </c>
      <c r="D26" s="21"/>
      <c r="E26" s="22">
        <f t="shared" si="0"/>
        <v>0</v>
      </c>
      <c r="F26" s="21"/>
      <c r="G26" s="20">
        <v>0</v>
      </c>
      <c r="H26" s="19"/>
      <c r="I26" s="20">
        <f t="shared" si="1"/>
        <v>0</v>
      </c>
      <c r="J26" s="19"/>
      <c r="K26" s="43">
        <v>0</v>
      </c>
      <c r="L26" s="43"/>
      <c r="M26" s="44">
        <f t="shared" si="2"/>
        <v>0</v>
      </c>
      <c r="N26" s="42"/>
      <c r="O26" s="55">
        <v>0</v>
      </c>
      <c r="P26" s="55"/>
      <c r="Q26" s="56">
        <v>0</v>
      </c>
      <c r="R26" s="54"/>
      <c r="S26" s="82">
        <v>0</v>
      </c>
      <c r="T26" s="81"/>
      <c r="U26" s="82">
        <f t="shared" si="3"/>
        <v>0</v>
      </c>
      <c r="V26" s="81"/>
    </row>
    <row r="27" spans="1:22" s="5" customFormat="1" ht="12">
      <c r="A27" s="8">
        <v>405</v>
      </c>
      <c r="B27" s="5" t="s">
        <v>129</v>
      </c>
      <c r="C27" s="22">
        <v>18782000</v>
      </c>
      <c r="D27" s="22">
        <f>+'[1]Asientos del Diario'!$E$281</f>
        <v>17341642</v>
      </c>
      <c r="E27" s="22">
        <f t="shared" si="0"/>
        <v>1440358</v>
      </c>
      <c r="F27" s="21"/>
      <c r="G27" s="20">
        <f>19568457-167340+229693-250000</f>
        <v>19380810</v>
      </c>
      <c r="H27" s="20">
        <f>+'[2]Asientos del Diario'!$E$281</f>
        <v>16446969</v>
      </c>
      <c r="I27" s="20">
        <f t="shared" si="1"/>
        <v>2933841</v>
      </c>
      <c r="J27" s="19"/>
      <c r="K27" s="43">
        <v>19942000</v>
      </c>
      <c r="L27" s="43">
        <v>17977336</v>
      </c>
      <c r="M27" s="44">
        <f t="shared" si="2"/>
        <v>1964664</v>
      </c>
      <c r="N27" s="42"/>
      <c r="O27" s="55">
        <v>20407742</v>
      </c>
      <c r="P27" s="55">
        <v>18085526</v>
      </c>
      <c r="Q27" s="56">
        <v>2322216</v>
      </c>
      <c r="R27" s="54"/>
      <c r="S27" s="82">
        <v>21452000</v>
      </c>
      <c r="T27" s="82">
        <f>+'[3]Asientos del Diario'!$E$314</f>
        <v>17855868</v>
      </c>
      <c r="U27" s="82">
        <f t="shared" si="3"/>
        <v>3596132</v>
      </c>
      <c r="V27" s="81"/>
    </row>
    <row r="28" spans="1:22" s="5" customFormat="1" ht="12">
      <c r="A28" s="6" t="s">
        <v>15</v>
      </c>
      <c r="B28" s="7" t="s">
        <v>114</v>
      </c>
      <c r="C28" s="22"/>
      <c r="D28" s="21"/>
      <c r="E28" s="22">
        <f t="shared" si="0"/>
        <v>0</v>
      </c>
      <c r="F28" s="21"/>
      <c r="G28" s="20"/>
      <c r="H28" s="19"/>
      <c r="I28" s="20">
        <f t="shared" si="1"/>
        <v>0</v>
      </c>
      <c r="J28" s="19"/>
      <c r="K28" s="43"/>
      <c r="L28" s="43"/>
      <c r="M28" s="44">
        <f t="shared" si="2"/>
        <v>0</v>
      </c>
      <c r="N28" s="42"/>
      <c r="O28" s="55"/>
      <c r="P28" s="55"/>
      <c r="Q28" s="56">
        <v>0</v>
      </c>
      <c r="R28" s="54"/>
      <c r="S28" s="82"/>
      <c r="T28" s="81"/>
      <c r="U28" s="82">
        <f t="shared" si="3"/>
        <v>0</v>
      </c>
      <c r="V28" s="81"/>
    </row>
    <row r="29" spans="1:22" s="5" customFormat="1" ht="12">
      <c r="A29" s="8">
        <v>501</v>
      </c>
      <c r="B29" s="5" t="s">
        <v>130</v>
      </c>
      <c r="C29" s="22">
        <v>190823000</v>
      </c>
      <c r="D29" s="22">
        <f>+'[1]Asientos del Diario'!$E$301</f>
        <v>174296095</v>
      </c>
      <c r="E29" s="22">
        <f t="shared" si="0"/>
        <v>16526905</v>
      </c>
      <c r="F29" s="21"/>
      <c r="G29" s="20">
        <f>198813723-1700177+2333684-2540000</f>
        <v>196907230</v>
      </c>
      <c r="H29" s="20">
        <f>+'[2]Asientos del Diario'!$E$301</f>
        <v>165614243</v>
      </c>
      <c r="I29" s="20">
        <f t="shared" si="1"/>
        <v>31292987</v>
      </c>
      <c r="J29" s="19"/>
      <c r="K29" s="43">
        <v>202613000</v>
      </c>
      <c r="L29" s="43">
        <v>181092116</v>
      </c>
      <c r="M29" s="44">
        <f t="shared" si="2"/>
        <v>21520884</v>
      </c>
      <c r="N29" s="42"/>
      <c r="O29" s="55">
        <v>207346292</v>
      </c>
      <c r="P29" s="55">
        <v>182078823</v>
      </c>
      <c r="Q29" s="56">
        <v>25267469</v>
      </c>
      <c r="R29" s="54"/>
      <c r="S29" s="82">
        <v>217948000</v>
      </c>
      <c r="T29" s="82">
        <f>+'[3]Asientos del Diario'!$E$334</f>
        <v>179847996</v>
      </c>
      <c r="U29" s="82">
        <f t="shared" si="3"/>
        <v>38100004</v>
      </c>
      <c r="V29" s="81"/>
    </row>
    <row r="30" spans="1:22" s="5" customFormat="1" ht="12">
      <c r="A30" s="8">
        <v>502</v>
      </c>
      <c r="B30" s="5" t="s">
        <v>131</v>
      </c>
      <c r="C30" s="22">
        <v>56345000</v>
      </c>
      <c r="D30" s="22">
        <f>+'[1]Asientos del Diario'!$E$321</f>
        <v>52030133</v>
      </c>
      <c r="E30" s="22">
        <f t="shared" si="0"/>
        <v>4314867</v>
      </c>
      <c r="F30" s="21"/>
      <c r="G30" s="20">
        <f>58354371-502021+689080-750000</f>
        <v>57791430</v>
      </c>
      <c r="H30" s="20">
        <f>+'[2]Asientos del Diario'!$E$321</f>
        <v>49335460</v>
      </c>
      <c r="I30" s="20">
        <f t="shared" si="1"/>
        <v>8455970</v>
      </c>
      <c r="J30" s="19"/>
      <c r="K30" s="43">
        <v>59827000</v>
      </c>
      <c r="L30" s="43">
        <v>53932023</v>
      </c>
      <c r="M30" s="44">
        <f t="shared" si="2"/>
        <v>5894977</v>
      </c>
      <c r="N30" s="42"/>
      <c r="O30" s="55">
        <v>61224224</v>
      </c>
      <c r="P30" s="55">
        <v>54256679</v>
      </c>
      <c r="Q30" s="56">
        <v>6967545</v>
      </c>
      <c r="R30" s="54"/>
      <c r="S30" s="82">
        <v>64355000</v>
      </c>
      <c r="T30" s="82">
        <f>+'[3]Asientos del Diario'!$E$354</f>
        <v>53567734</v>
      </c>
      <c r="U30" s="82">
        <f t="shared" si="3"/>
        <v>10787266</v>
      </c>
      <c r="V30" s="81"/>
    </row>
    <row r="31" spans="1:22" s="5" customFormat="1" ht="12">
      <c r="A31" s="8">
        <v>503</v>
      </c>
      <c r="B31" s="5" t="s">
        <v>132</v>
      </c>
      <c r="C31" s="22">
        <v>112690000</v>
      </c>
      <c r="D31" s="22">
        <f>+'[1]Asientos del Diario'!$E$340</f>
        <v>104060218</v>
      </c>
      <c r="E31" s="22">
        <f t="shared" si="0"/>
        <v>8629782</v>
      </c>
      <c r="F31" s="21"/>
      <c r="G31" s="20">
        <f>117364742-1004041+1378160-1500000</f>
        <v>116238861</v>
      </c>
      <c r="H31" s="20">
        <f>+'[2]Asientos del Diario'!$E$340</f>
        <v>98671226</v>
      </c>
      <c r="I31" s="20">
        <f t="shared" si="1"/>
        <v>17567635</v>
      </c>
      <c r="J31" s="19"/>
      <c r="K31" s="43">
        <v>119653000</v>
      </c>
      <c r="L31" s="43">
        <v>107864018</v>
      </c>
      <c r="M31" s="44">
        <f t="shared" si="2"/>
        <v>11788982</v>
      </c>
      <c r="N31" s="42"/>
      <c r="O31" s="55">
        <v>122448448</v>
      </c>
      <c r="P31" s="55">
        <v>108513386</v>
      </c>
      <c r="Q31" s="56">
        <v>13935062</v>
      </c>
      <c r="R31" s="54"/>
      <c r="S31" s="82">
        <v>128710000</v>
      </c>
      <c r="T31" s="82">
        <f>+'[3]Asientos del Diario'!$E$373</f>
        <v>107135352</v>
      </c>
      <c r="U31" s="82">
        <f t="shared" si="3"/>
        <v>21574648</v>
      </c>
      <c r="V31" s="81"/>
    </row>
    <row r="32" spans="1:22" s="5" customFormat="1" ht="12">
      <c r="A32" s="8">
        <v>505</v>
      </c>
      <c r="B32" s="5" t="s">
        <v>133</v>
      </c>
      <c r="C32" s="22">
        <f>109300000+10500000</f>
        <v>119800000</v>
      </c>
      <c r="D32" s="22">
        <f>+'[1]Asientos del Diario'!$E$361</f>
        <v>117198952.79</v>
      </c>
      <c r="E32" s="22">
        <f t="shared" si="0"/>
        <v>2601047.2099999934</v>
      </c>
      <c r="F32" s="21"/>
      <c r="G32" s="20">
        <v>130000000</v>
      </c>
      <c r="H32" s="20">
        <f>+'[2]Asientos del Diario'!$E$361</f>
        <v>128290592.47999999</v>
      </c>
      <c r="I32" s="20">
        <f t="shared" si="1"/>
        <v>1709407.5200000107</v>
      </c>
      <c r="J32" s="19"/>
      <c r="K32" s="43">
        <v>138500000</v>
      </c>
      <c r="L32" s="43">
        <v>138498734.95000002</v>
      </c>
      <c r="M32" s="44">
        <f t="shared" si="2"/>
        <v>1265.0499999821186</v>
      </c>
      <c r="N32" s="42"/>
      <c r="O32" s="55">
        <v>150000000</v>
      </c>
      <c r="P32" s="55">
        <v>149808522.91</v>
      </c>
      <c r="Q32" s="56">
        <v>191477.09000000358</v>
      </c>
      <c r="R32" s="54"/>
      <c r="S32" s="82">
        <f>140000000+3500000</f>
        <v>143500000</v>
      </c>
      <c r="T32" s="82">
        <f>+'[3]Asientos del Diario'!$E$395</f>
        <v>140844461.60999998</v>
      </c>
      <c r="U32" s="82">
        <f t="shared" si="3"/>
        <v>2655538.3900000155</v>
      </c>
      <c r="V32" s="81"/>
    </row>
    <row r="33" spans="1:22" s="5" customFormat="1" ht="12">
      <c r="A33" s="6" t="s">
        <v>16</v>
      </c>
      <c r="B33" s="7" t="s">
        <v>17</v>
      </c>
      <c r="C33" s="22"/>
      <c r="D33" s="21"/>
      <c r="E33" s="22">
        <f t="shared" si="0"/>
        <v>0</v>
      </c>
      <c r="F33" s="21"/>
      <c r="G33" s="20"/>
      <c r="H33" s="19"/>
      <c r="I33" s="20">
        <f t="shared" si="1"/>
        <v>0</v>
      </c>
      <c r="J33" s="19"/>
      <c r="K33" s="43"/>
      <c r="L33" s="43"/>
      <c r="M33" s="44">
        <f t="shared" si="2"/>
        <v>0</v>
      </c>
      <c r="N33" s="42"/>
      <c r="O33" s="55"/>
      <c r="P33" s="55"/>
      <c r="Q33" s="56">
        <v>0</v>
      </c>
      <c r="R33" s="54"/>
      <c r="S33" s="82"/>
      <c r="T33" s="81"/>
      <c r="U33" s="82">
        <f t="shared" si="3"/>
        <v>0</v>
      </c>
      <c r="V33" s="81"/>
    </row>
    <row r="34" spans="1:22" s="5" customFormat="1" ht="12">
      <c r="A34" s="8">
        <v>9901</v>
      </c>
      <c r="B34" s="5" t="s">
        <v>18</v>
      </c>
      <c r="C34" s="22">
        <v>0</v>
      </c>
      <c r="D34" s="21"/>
      <c r="E34" s="22">
        <f t="shared" si="0"/>
        <v>0</v>
      </c>
      <c r="F34" s="21"/>
      <c r="G34" s="20">
        <v>0</v>
      </c>
      <c r="H34" s="19"/>
      <c r="I34" s="20">
        <f t="shared" si="1"/>
        <v>0</v>
      </c>
      <c r="J34" s="19"/>
      <c r="K34" s="43">
        <v>0</v>
      </c>
      <c r="L34" s="43"/>
      <c r="M34" s="44">
        <f t="shared" si="2"/>
        <v>0</v>
      </c>
      <c r="N34" s="42"/>
      <c r="O34" s="55"/>
      <c r="P34" s="55"/>
      <c r="Q34" s="56">
        <v>0</v>
      </c>
      <c r="R34" s="54"/>
      <c r="S34" s="82"/>
      <c r="T34" s="81"/>
      <c r="U34" s="82">
        <f t="shared" si="3"/>
        <v>0</v>
      </c>
      <c r="V34" s="81"/>
    </row>
    <row r="35" spans="1:22" s="5" customFormat="1" ht="12">
      <c r="A35" s="8"/>
      <c r="C35" s="23"/>
      <c r="D35" s="21"/>
      <c r="E35" s="22">
        <f t="shared" si="0"/>
        <v>0</v>
      </c>
      <c r="F35" s="21"/>
      <c r="G35" s="35"/>
      <c r="H35" s="19"/>
      <c r="I35" s="20">
        <f t="shared" si="1"/>
        <v>0</v>
      </c>
      <c r="J35" s="19"/>
      <c r="K35" s="43"/>
      <c r="L35" s="43"/>
      <c r="M35" s="44">
        <f t="shared" si="2"/>
        <v>0</v>
      </c>
      <c r="N35" s="42"/>
      <c r="O35" s="55"/>
      <c r="P35" s="55"/>
      <c r="Q35" s="56">
        <v>0</v>
      </c>
      <c r="R35" s="54"/>
      <c r="S35" s="84"/>
      <c r="T35" s="81"/>
      <c r="U35" s="82">
        <f t="shared" si="3"/>
        <v>0</v>
      </c>
      <c r="V35" s="81"/>
    </row>
    <row r="36" spans="1:22" s="5" customFormat="1" ht="15.75">
      <c r="A36" s="3" t="s">
        <v>118</v>
      </c>
      <c r="B36" s="4" t="s">
        <v>19</v>
      </c>
      <c r="C36" s="32">
        <f>SUM(C38:C89)</f>
        <v>403564000</v>
      </c>
      <c r="D36" s="32">
        <f>SUM(D38:D89)</f>
        <v>376169665.07</v>
      </c>
      <c r="E36" s="32">
        <f>SUM(E38:E89)</f>
        <v>27394334.930000022</v>
      </c>
      <c r="F36" s="31">
        <f>+D36/C36*100</f>
        <v>93.21189825405636</v>
      </c>
      <c r="G36" s="35">
        <f>SUM(G38:G88)</f>
        <v>414125000</v>
      </c>
      <c r="H36" s="35">
        <f>SUM(H38:H88)</f>
        <v>374980224.49</v>
      </c>
      <c r="I36" s="35">
        <f>SUM(I38:I88)</f>
        <v>39144775.50999997</v>
      </c>
      <c r="J36" s="29">
        <f>+H36/G36*100</f>
        <v>90.54759420223363</v>
      </c>
      <c r="K36" s="45">
        <f>SUM(K38:K88)</f>
        <v>477995000</v>
      </c>
      <c r="L36" s="45">
        <f>SUM(L38:L88)</f>
        <v>425708432.2199999</v>
      </c>
      <c r="M36" s="45">
        <f>SUM(M38:M88)</f>
        <v>52286567.78000004</v>
      </c>
      <c r="N36" s="41">
        <f>+L36/K36*100</f>
        <v>89.06127307189405</v>
      </c>
      <c r="O36" s="57">
        <f>SUM(O38:O86)</f>
        <v>518199000</v>
      </c>
      <c r="P36" s="57">
        <f>SUM(P38:P86)</f>
        <v>442655798.63000005</v>
      </c>
      <c r="Q36" s="57">
        <f>SUM(Q38:Q86)</f>
        <v>75543201.36999999</v>
      </c>
      <c r="R36" s="53">
        <f>+P36/O36*100</f>
        <v>85.42197083166893</v>
      </c>
      <c r="S36" s="84">
        <f>+S37+S43+S49+S56++S64+S69+S71+S75+S83+S85</f>
        <v>444977000</v>
      </c>
      <c r="T36" s="84">
        <f>SUM(T38:T86)</f>
        <v>389646985.68</v>
      </c>
      <c r="U36" s="84">
        <f t="shared" si="3"/>
        <v>55330014.31999999</v>
      </c>
      <c r="V36" s="80">
        <f>+T36/S36*100</f>
        <v>87.56564624239006</v>
      </c>
    </row>
    <row r="37" spans="1:22" s="5" customFormat="1" ht="12">
      <c r="A37" s="9">
        <v>101</v>
      </c>
      <c r="B37" s="7" t="s">
        <v>20</v>
      </c>
      <c r="C37" s="22"/>
      <c r="D37" s="21"/>
      <c r="E37" s="22">
        <f t="shared" si="0"/>
        <v>0</v>
      </c>
      <c r="F37" s="21"/>
      <c r="G37" s="20"/>
      <c r="H37" s="19"/>
      <c r="I37" s="20">
        <f t="shared" si="1"/>
        <v>0</v>
      </c>
      <c r="J37" s="19"/>
      <c r="K37" s="43"/>
      <c r="L37" s="43"/>
      <c r="M37" s="44">
        <f t="shared" si="2"/>
        <v>0</v>
      </c>
      <c r="N37" s="42"/>
      <c r="O37" s="55" t="s">
        <v>116</v>
      </c>
      <c r="P37" s="55"/>
      <c r="Q37" s="56" t="s">
        <v>116</v>
      </c>
      <c r="R37" s="54"/>
      <c r="S37" s="82">
        <f>SUM(S38:S42)</f>
        <v>40400000</v>
      </c>
      <c r="T37" s="81"/>
      <c r="U37" s="82">
        <f t="shared" si="3"/>
        <v>40400000</v>
      </c>
      <c r="V37" s="81"/>
    </row>
    <row r="38" spans="1:22" s="5" customFormat="1" ht="12">
      <c r="A38" s="8">
        <v>10101</v>
      </c>
      <c r="B38" s="5" t="s">
        <v>110</v>
      </c>
      <c r="C38" s="22">
        <f>30000000+750000</f>
        <v>30750000</v>
      </c>
      <c r="D38" s="22">
        <f>+'[1]Asientos del Diario'!$E$441</f>
        <v>30047852.6</v>
      </c>
      <c r="E38" s="22">
        <f t="shared" si="0"/>
        <v>702147.3999999985</v>
      </c>
      <c r="F38" s="21"/>
      <c r="G38" s="20">
        <f>34850000+14000000-9900000</f>
        <v>38950000</v>
      </c>
      <c r="H38" s="20">
        <f>+'[2]Asientos del Diario'!$E$471</f>
        <v>33767086.65</v>
      </c>
      <c r="I38" s="20">
        <f t="shared" si="1"/>
        <v>5182913.3500000015</v>
      </c>
      <c r="J38" s="19"/>
      <c r="K38" s="43">
        <v>38395000</v>
      </c>
      <c r="L38" s="43">
        <v>36149316.8</v>
      </c>
      <c r="M38" s="44">
        <f t="shared" si="2"/>
        <v>2245683.200000003</v>
      </c>
      <c r="N38" s="42"/>
      <c r="O38" s="55">
        <v>40400000</v>
      </c>
      <c r="P38" s="55">
        <v>39174248</v>
      </c>
      <c r="Q38" s="56">
        <v>1225752</v>
      </c>
      <c r="R38" s="54"/>
      <c r="S38" s="82">
        <f>40000000+300000</f>
        <v>40300000</v>
      </c>
      <c r="T38" s="82">
        <f>+'[3]Asientos del Diario'!$E$503</f>
        <v>39054636.4</v>
      </c>
      <c r="U38" s="82">
        <f t="shared" si="3"/>
        <v>1245363.6000000015</v>
      </c>
      <c r="V38" s="81"/>
    </row>
    <row r="39" spans="1:22" s="5" customFormat="1" ht="12">
      <c r="A39" s="8">
        <v>10102</v>
      </c>
      <c r="B39" s="5" t="s">
        <v>109</v>
      </c>
      <c r="C39" s="22">
        <v>0</v>
      </c>
      <c r="D39" s="22">
        <v>0</v>
      </c>
      <c r="E39" s="22">
        <f t="shared" si="0"/>
        <v>0</v>
      </c>
      <c r="F39" s="21"/>
      <c r="G39" s="20">
        <v>0</v>
      </c>
      <c r="H39" s="20">
        <v>0</v>
      </c>
      <c r="I39" s="20">
        <f t="shared" si="1"/>
        <v>0</v>
      </c>
      <c r="J39" s="19"/>
      <c r="K39" s="43">
        <v>0</v>
      </c>
      <c r="L39" s="43"/>
      <c r="M39" s="44">
        <f t="shared" si="2"/>
        <v>0</v>
      </c>
      <c r="N39" s="42"/>
      <c r="O39" s="55">
        <v>0</v>
      </c>
      <c r="P39" s="55"/>
      <c r="Q39" s="56">
        <v>0</v>
      </c>
      <c r="R39" s="54"/>
      <c r="S39" s="82">
        <v>0</v>
      </c>
      <c r="T39" s="82"/>
      <c r="U39" s="82">
        <f t="shared" si="3"/>
        <v>0</v>
      </c>
      <c r="V39" s="81"/>
    </row>
    <row r="40" spans="1:22" s="5" customFormat="1" ht="12">
      <c r="A40" s="8">
        <v>10103</v>
      </c>
      <c r="B40" s="5" t="s">
        <v>21</v>
      </c>
      <c r="C40" s="22">
        <v>0</v>
      </c>
      <c r="D40" s="21"/>
      <c r="E40" s="22">
        <f t="shared" si="0"/>
        <v>0</v>
      </c>
      <c r="F40" s="21"/>
      <c r="G40" s="20">
        <v>0</v>
      </c>
      <c r="H40" s="19"/>
      <c r="I40" s="20">
        <f t="shared" si="1"/>
        <v>0</v>
      </c>
      <c r="J40" s="19"/>
      <c r="K40" s="43">
        <v>0</v>
      </c>
      <c r="L40" s="43"/>
      <c r="M40" s="44">
        <f t="shared" si="2"/>
        <v>0</v>
      </c>
      <c r="N40" s="42"/>
      <c r="O40" s="55">
        <v>0</v>
      </c>
      <c r="P40" s="55"/>
      <c r="Q40" s="56">
        <v>0</v>
      </c>
      <c r="R40" s="54"/>
      <c r="S40" s="82"/>
      <c r="T40" s="81"/>
      <c r="U40" s="84">
        <f t="shared" si="3"/>
        <v>0</v>
      </c>
      <c r="V40" s="81"/>
    </row>
    <row r="41" spans="1:22" s="5" customFormat="1" ht="12">
      <c r="A41" s="8">
        <v>10104</v>
      </c>
      <c r="B41" s="5" t="s">
        <v>148</v>
      </c>
      <c r="C41" s="22">
        <v>2000000</v>
      </c>
      <c r="D41" s="22">
        <f>+'[1]Asientos del Diario'!$E$451</f>
        <v>0</v>
      </c>
      <c r="E41" s="22">
        <f t="shared" si="0"/>
        <v>2000000</v>
      </c>
      <c r="F41" s="21"/>
      <c r="G41" s="20">
        <f>2000000-2000000</f>
        <v>0</v>
      </c>
      <c r="H41" s="20">
        <f>+'[2]Asientos del Diario'!$E$481</f>
        <v>0</v>
      </c>
      <c r="I41" s="20">
        <f t="shared" si="1"/>
        <v>0</v>
      </c>
      <c r="J41" s="19"/>
      <c r="K41" s="43">
        <v>0</v>
      </c>
      <c r="L41" s="43"/>
      <c r="M41" s="44">
        <f t="shared" si="2"/>
        <v>0</v>
      </c>
      <c r="N41" s="42"/>
      <c r="O41" s="55">
        <v>0</v>
      </c>
      <c r="P41" s="55"/>
      <c r="Q41" s="56">
        <v>0</v>
      </c>
      <c r="R41" s="54"/>
      <c r="S41" s="82"/>
      <c r="T41" s="82"/>
      <c r="U41" s="82">
        <f t="shared" si="3"/>
        <v>0</v>
      </c>
      <c r="V41" s="81"/>
    </row>
    <row r="42" spans="1:22" s="5" customFormat="1" ht="12">
      <c r="A42" s="8">
        <v>10199</v>
      </c>
      <c r="B42" s="5" t="s">
        <v>22</v>
      </c>
      <c r="C42" s="22">
        <v>250000</v>
      </c>
      <c r="D42" s="22">
        <f>+'[1]Asientos del Diario'!$E$459</f>
        <v>32340</v>
      </c>
      <c r="E42" s="22">
        <f t="shared" si="0"/>
        <v>217660</v>
      </c>
      <c r="F42" s="21"/>
      <c r="G42" s="20">
        <v>300000</v>
      </c>
      <c r="H42" s="20">
        <f>+'[2]Asientos del Diario'!$E$489</f>
        <v>33360</v>
      </c>
      <c r="I42" s="20">
        <f t="shared" si="1"/>
        <v>266640</v>
      </c>
      <c r="J42" s="19"/>
      <c r="K42" s="43">
        <v>100000</v>
      </c>
      <c r="L42" s="43">
        <v>34920</v>
      </c>
      <c r="M42" s="44">
        <f t="shared" si="2"/>
        <v>65080</v>
      </c>
      <c r="N42" s="42"/>
      <c r="O42" s="55">
        <v>100000</v>
      </c>
      <c r="P42" s="55">
        <v>35040</v>
      </c>
      <c r="Q42" s="56">
        <v>64960</v>
      </c>
      <c r="R42" s="54"/>
      <c r="S42" s="82">
        <v>100000</v>
      </c>
      <c r="T42" s="82">
        <f>+'[3]Asientos del Diario'!$E$521</f>
        <v>35100</v>
      </c>
      <c r="U42" s="82">
        <f t="shared" si="3"/>
        <v>64900</v>
      </c>
      <c r="V42" s="81"/>
    </row>
    <row r="43" spans="1:22" s="5" customFormat="1" ht="12">
      <c r="A43" s="9">
        <v>102</v>
      </c>
      <c r="B43" s="7" t="s">
        <v>23</v>
      </c>
      <c r="C43" s="22"/>
      <c r="D43" s="21"/>
      <c r="E43" s="22">
        <f t="shared" si="0"/>
        <v>0</v>
      </c>
      <c r="F43" s="21"/>
      <c r="G43" s="20"/>
      <c r="H43" s="19"/>
      <c r="I43" s="20">
        <f t="shared" si="1"/>
        <v>0</v>
      </c>
      <c r="J43" s="19"/>
      <c r="K43" s="43"/>
      <c r="L43" s="43"/>
      <c r="M43" s="44">
        <f t="shared" si="2"/>
        <v>0</v>
      </c>
      <c r="N43" s="42"/>
      <c r="O43" s="55" t="s">
        <v>116</v>
      </c>
      <c r="P43" s="55"/>
      <c r="Q43" s="56" t="s">
        <v>116</v>
      </c>
      <c r="R43" s="54"/>
      <c r="S43" s="82">
        <f>SUM(S44:S48)</f>
        <v>117850000</v>
      </c>
      <c r="T43" s="81"/>
      <c r="U43" s="82">
        <f t="shared" si="3"/>
        <v>117850000</v>
      </c>
      <c r="V43" s="81"/>
    </row>
    <row r="44" spans="1:22" s="5" customFormat="1" ht="12">
      <c r="A44" s="8">
        <v>10201</v>
      </c>
      <c r="B44" s="5" t="s">
        <v>24</v>
      </c>
      <c r="C44" s="22">
        <v>21128000</v>
      </c>
      <c r="D44" s="22">
        <f>+'[1]Asientos del Diario'!$E$531</f>
        <v>20106308.85</v>
      </c>
      <c r="E44" s="22">
        <f t="shared" si="0"/>
        <v>1021691.1499999985</v>
      </c>
      <c r="F44" s="21"/>
      <c r="G44" s="20">
        <f>22872000-1500000+150000</f>
        <v>21522000</v>
      </c>
      <c r="H44" s="20">
        <f>+'[2]Asientos del Diario'!$E$561</f>
        <v>16983285</v>
      </c>
      <c r="I44" s="20">
        <f t="shared" si="1"/>
        <v>4538715</v>
      </c>
      <c r="J44" s="19"/>
      <c r="K44" s="43">
        <v>20500000</v>
      </c>
      <c r="L44" s="43">
        <v>18388998</v>
      </c>
      <c r="M44" s="44">
        <f t="shared" si="2"/>
        <v>2111002</v>
      </c>
      <c r="N44" s="42"/>
      <c r="O44" s="55">
        <v>27500000</v>
      </c>
      <c r="P44" s="55">
        <v>26161287</v>
      </c>
      <c r="Q44" s="56">
        <v>1338713</v>
      </c>
      <c r="R44" s="54"/>
      <c r="S44" s="82">
        <f>31000000-6400000</f>
        <v>24600000</v>
      </c>
      <c r="T44" s="82">
        <f>+'[3]Asientos del Diario'!$E$593</f>
        <v>14647542.96</v>
      </c>
      <c r="U44" s="82">
        <f t="shared" si="3"/>
        <v>9952457.04</v>
      </c>
      <c r="V44" s="81"/>
    </row>
    <row r="45" spans="1:22" s="5" customFormat="1" ht="12">
      <c r="A45" s="8">
        <v>10202</v>
      </c>
      <c r="B45" s="5" t="s">
        <v>25</v>
      </c>
      <c r="C45" s="22">
        <f>34874000-7000000</f>
        <v>27874000</v>
      </c>
      <c r="D45" s="22">
        <f>+'[1]Asientos del Diario'!$E$624</f>
        <v>24677834.919999998</v>
      </c>
      <c r="E45" s="22">
        <f t="shared" si="0"/>
        <v>3196165.080000002</v>
      </c>
      <c r="F45" s="21"/>
      <c r="G45" s="20">
        <f>34352000-4500000+1200000</f>
        <v>31052000</v>
      </c>
      <c r="H45" s="20">
        <f>+'[2]Asientos del Diario'!$E$654</f>
        <v>25550209.060000002</v>
      </c>
      <c r="I45" s="20">
        <f t="shared" si="1"/>
        <v>5501790.939999998</v>
      </c>
      <c r="J45" s="19"/>
      <c r="K45" s="43">
        <v>25500000</v>
      </c>
      <c r="L45" s="43">
        <v>23565445.589999992</v>
      </c>
      <c r="M45" s="44">
        <f t="shared" si="2"/>
        <v>1934554.4100000076</v>
      </c>
      <c r="N45" s="42"/>
      <c r="O45" s="55">
        <v>26049000</v>
      </c>
      <c r="P45" s="55">
        <v>23356810.01</v>
      </c>
      <c r="Q45" s="56">
        <v>2692189.9899999984</v>
      </c>
      <c r="R45" s="54"/>
      <c r="S45" s="82">
        <f>28000000-4000000</f>
        <v>24000000</v>
      </c>
      <c r="T45" s="82">
        <f>+'[3]Asientos del Diario'!$E$686</f>
        <v>21334862.59</v>
      </c>
      <c r="U45" s="82">
        <f t="shared" si="3"/>
        <v>2665137.41</v>
      </c>
      <c r="V45" s="81"/>
    </row>
    <row r="46" spans="1:22" s="5" customFormat="1" ht="12">
      <c r="A46" s="8">
        <v>10203</v>
      </c>
      <c r="B46" s="5" t="s">
        <v>26</v>
      </c>
      <c r="C46" s="22">
        <v>7725000</v>
      </c>
      <c r="D46" s="22">
        <f>+'[1]Asientos del Diario'!$E$650</f>
        <v>7603625</v>
      </c>
      <c r="E46" s="22">
        <f t="shared" si="0"/>
        <v>121375</v>
      </c>
      <c r="F46" s="21"/>
      <c r="G46" s="20">
        <f>8000000+1000000</f>
        <v>9000000</v>
      </c>
      <c r="H46" s="20">
        <f>+'[2]Asientos del Diario'!$E$680</f>
        <v>7604215</v>
      </c>
      <c r="I46" s="20">
        <f t="shared" si="1"/>
        <v>1395785</v>
      </c>
      <c r="J46" s="19"/>
      <c r="K46" s="43">
        <v>9000000</v>
      </c>
      <c r="L46" s="43">
        <v>8071760</v>
      </c>
      <c r="M46" s="44">
        <f t="shared" si="2"/>
        <v>928240</v>
      </c>
      <c r="N46" s="42"/>
      <c r="O46" s="55">
        <v>9500000</v>
      </c>
      <c r="P46" s="55">
        <v>8166825</v>
      </c>
      <c r="Q46" s="56">
        <v>1333175</v>
      </c>
      <c r="R46" s="54"/>
      <c r="S46" s="82">
        <v>9500000</v>
      </c>
      <c r="T46" s="82">
        <f>+'[3]Asientos del Diario'!$E$712</f>
        <v>8092995</v>
      </c>
      <c r="U46" s="82">
        <f t="shared" si="3"/>
        <v>1407005</v>
      </c>
      <c r="V46" s="81"/>
    </row>
    <row r="47" spans="1:22" s="5" customFormat="1" ht="12">
      <c r="A47" s="8">
        <v>10204</v>
      </c>
      <c r="B47" s="5" t="s">
        <v>27</v>
      </c>
      <c r="C47" s="22">
        <f>35400000+4900000</f>
        <v>40300000</v>
      </c>
      <c r="D47" s="22">
        <f>+'[1]Asientos del Diario'!$E$735</f>
        <v>39539360.010000005</v>
      </c>
      <c r="E47" s="22">
        <f t="shared" si="0"/>
        <v>760639.9899999946</v>
      </c>
      <c r="F47" s="21"/>
      <c r="G47" s="20">
        <f>45000000+500000+1050000+2611000</f>
        <v>49161000</v>
      </c>
      <c r="H47" s="20">
        <f>+'[2]Asientos del Diario'!$E$764</f>
        <v>48915560.599999994</v>
      </c>
      <c r="I47" s="20">
        <f t="shared" si="1"/>
        <v>245439.40000000596</v>
      </c>
      <c r="J47" s="19"/>
      <c r="K47" s="43">
        <v>55250000</v>
      </c>
      <c r="L47" s="43">
        <v>52316230.660000004</v>
      </c>
      <c r="M47" s="44">
        <f t="shared" si="2"/>
        <v>2933769.339999996</v>
      </c>
      <c r="N47" s="42"/>
      <c r="O47" s="55">
        <v>63500000</v>
      </c>
      <c r="P47" s="55">
        <v>57106325.78</v>
      </c>
      <c r="Q47" s="56">
        <v>6393674.219999999</v>
      </c>
      <c r="R47" s="54"/>
      <c r="S47" s="82">
        <v>57100000</v>
      </c>
      <c r="T47" s="82">
        <f>+'[3]Asientos del Diario'!$E$795</f>
        <v>54719940.00999999</v>
      </c>
      <c r="U47" s="82">
        <f t="shared" si="3"/>
        <v>2380059.9900000095</v>
      </c>
      <c r="V47" s="81"/>
    </row>
    <row r="48" spans="1:22" s="5" customFormat="1" ht="12">
      <c r="A48" s="8">
        <v>10299</v>
      </c>
      <c r="B48" s="5" t="s">
        <v>28</v>
      </c>
      <c r="C48" s="22">
        <v>1200000</v>
      </c>
      <c r="D48" s="22">
        <f>+'[1]Asientos del Diario'!$E$760</f>
        <v>1199787.06</v>
      </c>
      <c r="E48" s="22">
        <f t="shared" si="0"/>
        <v>212.93999999994412</v>
      </c>
      <c r="F48" s="21"/>
      <c r="G48" s="20">
        <v>1300000</v>
      </c>
      <c r="H48" s="20">
        <f>+'[2]Asientos del Diario'!$E$789</f>
        <v>1235097.1300000004</v>
      </c>
      <c r="I48" s="20">
        <f t="shared" si="1"/>
        <v>64902.869999999646</v>
      </c>
      <c r="J48" s="19"/>
      <c r="K48" s="43">
        <v>1600000</v>
      </c>
      <c r="L48" s="43">
        <v>1571006.6600000001</v>
      </c>
      <c r="M48" s="44">
        <f t="shared" si="2"/>
        <v>28993.33999999985</v>
      </c>
      <c r="N48" s="42"/>
      <c r="O48" s="55">
        <v>2400000</v>
      </c>
      <c r="P48" s="55">
        <v>1818545.7599999998</v>
      </c>
      <c r="Q48" s="56">
        <v>581454.2400000002</v>
      </c>
      <c r="R48" s="54"/>
      <c r="S48" s="82">
        <f>1950000+400000+300000</f>
        <v>2650000</v>
      </c>
      <c r="T48" s="82">
        <f>+'[3]Asientos del Diario'!$E$838</f>
        <v>2386826.1799999997</v>
      </c>
      <c r="U48" s="82">
        <f t="shared" si="3"/>
        <v>263173.8200000003</v>
      </c>
      <c r="V48" s="81"/>
    </row>
    <row r="49" spans="1:22" s="5" customFormat="1" ht="12">
      <c r="A49" s="9">
        <v>103</v>
      </c>
      <c r="B49" s="7" t="s">
        <v>29</v>
      </c>
      <c r="C49" s="22"/>
      <c r="D49" s="21"/>
      <c r="E49" s="22">
        <f t="shared" si="0"/>
        <v>0</v>
      </c>
      <c r="F49" s="21"/>
      <c r="G49" s="20"/>
      <c r="H49" s="19"/>
      <c r="I49" s="20">
        <f t="shared" si="1"/>
        <v>0</v>
      </c>
      <c r="J49" s="19"/>
      <c r="K49" s="43"/>
      <c r="L49" s="43"/>
      <c r="M49" s="44">
        <f t="shared" si="2"/>
        <v>0</v>
      </c>
      <c r="N49" s="42"/>
      <c r="O49" s="55" t="s">
        <v>116</v>
      </c>
      <c r="P49" s="55"/>
      <c r="Q49" s="56" t="s">
        <v>116</v>
      </c>
      <c r="R49" s="54"/>
      <c r="S49" s="82">
        <f>SUM(S50:S55)</f>
        <v>30150000</v>
      </c>
      <c r="T49" s="81"/>
      <c r="U49" s="82">
        <f t="shared" si="3"/>
        <v>30150000</v>
      </c>
      <c r="V49" s="81"/>
    </row>
    <row r="50" spans="1:22" s="5" customFormat="1" ht="12">
      <c r="A50" s="8">
        <v>10301</v>
      </c>
      <c r="B50" s="5" t="s">
        <v>30</v>
      </c>
      <c r="C50" s="22">
        <f>4000000+2000000</f>
        <v>6000000</v>
      </c>
      <c r="D50" s="22">
        <f>+'[1]Asientos del Diario'!$E$796</f>
        <v>5710718</v>
      </c>
      <c r="E50" s="22">
        <f t="shared" si="0"/>
        <v>289282</v>
      </c>
      <c r="F50" s="21"/>
      <c r="G50" s="20">
        <f>5000000+700000</f>
        <v>5700000</v>
      </c>
      <c r="H50" s="20">
        <f>+'[2]Asientos del Diario'!$E$825</f>
        <v>2161427.7</v>
      </c>
      <c r="I50" s="20">
        <f t="shared" si="1"/>
        <v>3538572.3</v>
      </c>
      <c r="J50" s="19"/>
      <c r="K50" s="43">
        <v>6000000</v>
      </c>
      <c r="L50" s="43">
        <v>2881220</v>
      </c>
      <c r="M50" s="44">
        <f t="shared" si="2"/>
        <v>3118780</v>
      </c>
      <c r="N50" s="42"/>
      <c r="O50" s="55">
        <v>5500000</v>
      </c>
      <c r="P50" s="55">
        <v>3322413</v>
      </c>
      <c r="Q50" s="56">
        <v>2177587</v>
      </c>
      <c r="R50" s="54"/>
      <c r="S50" s="82">
        <v>6000000</v>
      </c>
      <c r="T50" s="82">
        <f>+'[3]Asientos del Diario'!$E$874</f>
        <v>2636981.64</v>
      </c>
      <c r="U50" s="82">
        <f t="shared" si="3"/>
        <v>3363018.36</v>
      </c>
      <c r="V50" s="81"/>
    </row>
    <row r="51" spans="1:22" s="5" customFormat="1" ht="12">
      <c r="A51" s="8">
        <v>10302</v>
      </c>
      <c r="B51" s="5" t="s">
        <v>161</v>
      </c>
      <c r="C51" s="22"/>
      <c r="D51" s="22"/>
      <c r="E51" s="22"/>
      <c r="F51" s="21"/>
      <c r="G51" s="20">
        <f>1000000-500000</f>
        <v>500000</v>
      </c>
      <c r="H51" s="20">
        <f>+'[2]Asientos del Diario'!$E$837</f>
        <v>378700</v>
      </c>
      <c r="I51" s="20">
        <f t="shared" si="1"/>
        <v>121300</v>
      </c>
      <c r="J51" s="19"/>
      <c r="K51" s="43">
        <v>0</v>
      </c>
      <c r="L51" s="43"/>
      <c r="M51" s="44">
        <f t="shared" si="2"/>
        <v>0</v>
      </c>
      <c r="N51" s="42"/>
      <c r="O51" s="55">
        <v>0</v>
      </c>
      <c r="P51" s="55"/>
      <c r="Q51" s="56">
        <v>0</v>
      </c>
      <c r="R51" s="54"/>
      <c r="S51" s="82">
        <v>0</v>
      </c>
      <c r="T51" s="82"/>
      <c r="U51" s="82">
        <f t="shared" si="3"/>
        <v>0</v>
      </c>
      <c r="V51" s="81"/>
    </row>
    <row r="52" spans="1:22" s="5" customFormat="1" ht="12">
      <c r="A52" s="8">
        <v>10303</v>
      </c>
      <c r="B52" s="5" t="s">
        <v>31</v>
      </c>
      <c r="C52" s="22">
        <v>600000</v>
      </c>
      <c r="D52" s="22">
        <f>+'[1]Asientos del Diario'!$E$808</f>
        <v>278035.6</v>
      </c>
      <c r="E52" s="22">
        <f t="shared" si="0"/>
        <v>321964.4</v>
      </c>
      <c r="F52" s="21"/>
      <c r="G52" s="20">
        <f>4000000-1000000</f>
        <v>3000000</v>
      </c>
      <c r="H52" s="20">
        <f>+'[2]Asientos del Diario'!$E$866</f>
        <v>1034505</v>
      </c>
      <c r="I52" s="20">
        <f t="shared" si="1"/>
        <v>1965495</v>
      </c>
      <c r="J52" s="19"/>
      <c r="K52" s="43">
        <v>3100000</v>
      </c>
      <c r="L52" s="43">
        <v>846278.01</v>
      </c>
      <c r="M52" s="44">
        <f t="shared" si="2"/>
        <v>2253721.99</v>
      </c>
      <c r="N52" s="42"/>
      <c r="O52" s="55">
        <v>2000000</v>
      </c>
      <c r="P52" s="55">
        <v>1571452.48</v>
      </c>
      <c r="Q52" s="56">
        <v>428547.52</v>
      </c>
      <c r="R52" s="54"/>
      <c r="S52" s="82">
        <v>4000000</v>
      </c>
      <c r="T52" s="82">
        <f>+'[3]Asientos del Diario'!$E$915</f>
        <v>3687080.63</v>
      </c>
      <c r="U52" s="82">
        <f t="shared" si="3"/>
        <v>312919.3700000001</v>
      </c>
      <c r="V52" s="81"/>
    </row>
    <row r="53" spans="1:22" s="5" customFormat="1" ht="12">
      <c r="A53" s="8">
        <v>10304</v>
      </c>
      <c r="B53" s="5" t="s">
        <v>32</v>
      </c>
      <c r="C53" s="22">
        <f>5700000-2000000</f>
        <v>3700000</v>
      </c>
      <c r="D53" s="22">
        <f>+'[1]Asientos del Diario'!$E$837</f>
        <v>2912441.85</v>
      </c>
      <c r="E53" s="22">
        <f t="shared" si="0"/>
        <v>787558.1499999999</v>
      </c>
      <c r="F53" s="21"/>
      <c r="G53" s="20">
        <f>91000+900000-800000</f>
        <v>191000</v>
      </c>
      <c r="H53" s="20">
        <f>+'[2]Asientos del Diario'!$E$881</f>
        <v>110100.06</v>
      </c>
      <c r="I53" s="20">
        <f t="shared" si="1"/>
        <v>80899.94</v>
      </c>
      <c r="J53" s="19"/>
      <c r="K53" s="43">
        <v>200000</v>
      </c>
      <c r="L53" s="43">
        <v>26500</v>
      </c>
      <c r="M53" s="44">
        <f t="shared" si="2"/>
        <v>173500</v>
      </c>
      <c r="N53" s="42"/>
      <c r="O53" s="55">
        <v>750000</v>
      </c>
      <c r="P53" s="55">
        <v>94100</v>
      </c>
      <c r="Q53" s="56">
        <v>655900</v>
      </c>
      <c r="R53" s="54"/>
      <c r="S53" s="82">
        <v>250000</v>
      </c>
      <c r="T53" s="82">
        <f>+'[3]Asientos del Diario'!$E$930</f>
        <v>33608</v>
      </c>
      <c r="U53" s="82">
        <f t="shared" si="3"/>
        <v>216392</v>
      </c>
      <c r="V53" s="81"/>
    </row>
    <row r="54" spans="1:22" s="5" customFormat="1" ht="12">
      <c r="A54" s="8">
        <v>10306</v>
      </c>
      <c r="B54" s="5" t="s">
        <v>149</v>
      </c>
      <c r="C54" s="22">
        <v>100000</v>
      </c>
      <c r="D54" s="22">
        <f>+'[1]Asientos del Diario'!$E$852</f>
        <v>23600</v>
      </c>
      <c r="E54" s="22">
        <f t="shared" si="0"/>
        <v>76400</v>
      </c>
      <c r="F54" s="21"/>
      <c r="G54" s="20">
        <f>1200000+500000</f>
        <v>1700000</v>
      </c>
      <c r="H54" s="20">
        <f>+'[2]Asientos del Diario'!$E$903</f>
        <v>1700000</v>
      </c>
      <c r="I54" s="20">
        <f t="shared" si="1"/>
        <v>0</v>
      </c>
      <c r="J54" s="19"/>
      <c r="K54" s="43">
        <v>4400000</v>
      </c>
      <c r="L54" s="43">
        <v>3347862.51</v>
      </c>
      <c r="M54" s="44">
        <f t="shared" si="2"/>
        <v>1052137.4900000002</v>
      </c>
      <c r="N54" s="42"/>
      <c r="O54" s="55">
        <v>5500000</v>
      </c>
      <c r="P54" s="55">
        <v>4331342.399999999</v>
      </c>
      <c r="Q54" s="56">
        <v>1168657.6000000006</v>
      </c>
      <c r="R54" s="54"/>
      <c r="S54" s="82">
        <v>3500000</v>
      </c>
      <c r="T54" s="82">
        <f>+'[3]Asientos del Diario'!$E$955</f>
        <v>3147181.4</v>
      </c>
      <c r="U54" s="82">
        <f t="shared" si="3"/>
        <v>352818.6000000001</v>
      </c>
      <c r="V54" s="81"/>
    </row>
    <row r="55" spans="1:22" s="5" customFormat="1" ht="12">
      <c r="A55" s="8">
        <v>10307</v>
      </c>
      <c r="B55" s="5" t="s">
        <v>108</v>
      </c>
      <c r="C55" s="22">
        <f>157000+2000000</f>
        <v>2157000</v>
      </c>
      <c r="D55" s="22">
        <f>+'[1]Asientos del Diario'!$E$874</f>
        <v>2118545.9699999997</v>
      </c>
      <c r="E55" s="22">
        <f t="shared" si="0"/>
        <v>38454.03000000026</v>
      </c>
      <c r="F55" s="21"/>
      <c r="G55" s="20">
        <f>12000000+5439420</f>
        <v>17439420</v>
      </c>
      <c r="H55" s="20">
        <f>+'[2]Asientos del Diario'!$E$922</f>
        <v>15755492.530000001</v>
      </c>
      <c r="I55" s="20">
        <f t="shared" si="1"/>
        <v>1683927.4699999988</v>
      </c>
      <c r="J55" s="19"/>
      <c r="K55" s="43">
        <v>18500000</v>
      </c>
      <c r="L55" s="43">
        <v>18354989.26</v>
      </c>
      <c r="M55" s="44">
        <f t="shared" si="2"/>
        <v>145010.73999999836</v>
      </c>
      <c r="N55" s="42"/>
      <c r="O55" s="55">
        <v>25000000</v>
      </c>
      <c r="P55" s="55">
        <v>24040236.18</v>
      </c>
      <c r="Q55" s="56">
        <v>959763.8200000003</v>
      </c>
      <c r="R55" s="54"/>
      <c r="S55" s="82">
        <f>11400000+5000000</f>
        <v>16400000</v>
      </c>
      <c r="T55" s="82">
        <f>+'[3]Asientos del Diario'!$E$974</f>
        <v>13306753.93</v>
      </c>
      <c r="U55" s="82">
        <f t="shared" si="3"/>
        <v>3093246.0700000003</v>
      </c>
      <c r="V55" s="81"/>
    </row>
    <row r="56" spans="1:22" s="5" customFormat="1" ht="12">
      <c r="A56" s="9">
        <v>104</v>
      </c>
      <c r="B56" s="7" t="s">
        <v>33</v>
      </c>
      <c r="C56" s="22">
        <v>12000000</v>
      </c>
      <c r="D56" s="22">
        <f>+'[1]Asientos del Diario'!$E$891</f>
        <v>12000000</v>
      </c>
      <c r="E56" s="22">
        <f t="shared" si="0"/>
        <v>0</v>
      </c>
      <c r="F56" s="21"/>
      <c r="G56" s="20"/>
      <c r="H56" s="19"/>
      <c r="I56" s="20">
        <f t="shared" si="1"/>
        <v>0</v>
      </c>
      <c r="J56" s="19"/>
      <c r="K56" s="43"/>
      <c r="L56" s="43"/>
      <c r="M56" s="44">
        <f t="shared" si="2"/>
        <v>0</v>
      </c>
      <c r="N56" s="42"/>
      <c r="O56" s="55" t="s">
        <v>116</v>
      </c>
      <c r="P56" s="55"/>
      <c r="Q56" s="56" t="s">
        <v>116</v>
      </c>
      <c r="R56" s="54"/>
      <c r="S56" s="82">
        <f>SUM(S57:S63)</f>
        <v>131850000</v>
      </c>
      <c r="T56" s="81"/>
      <c r="U56" s="82">
        <f t="shared" si="3"/>
        <v>131850000</v>
      </c>
      <c r="V56" s="81"/>
    </row>
    <row r="57" spans="1:22" s="5" customFormat="1" ht="12">
      <c r="A57" s="8">
        <v>10401</v>
      </c>
      <c r="B57" s="5" t="s">
        <v>34</v>
      </c>
      <c r="C57" s="22"/>
      <c r="D57" s="21"/>
      <c r="E57" s="22">
        <f t="shared" si="0"/>
        <v>0</v>
      </c>
      <c r="F57" s="21"/>
      <c r="G57" s="20">
        <v>0</v>
      </c>
      <c r="H57" s="19"/>
      <c r="I57" s="20">
        <f t="shared" si="1"/>
        <v>0</v>
      </c>
      <c r="J57" s="19"/>
      <c r="K57" s="43">
        <v>200000</v>
      </c>
      <c r="L57" s="43"/>
      <c r="M57" s="44">
        <f t="shared" si="2"/>
        <v>200000</v>
      </c>
      <c r="N57" s="42"/>
      <c r="O57" s="55">
        <v>200000</v>
      </c>
      <c r="P57" s="55">
        <v>60000</v>
      </c>
      <c r="Q57" s="56">
        <v>140000</v>
      </c>
      <c r="R57" s="54"/>
      <c r="S57" s="82">
        <v>200000</v>
      </c>
      <c r="T57" s="82">
        <f>+'[3]Asientos del Diario'!$E$981</f>
        <v>17520</v>
      </c>
      <c r="U57" s="82">
        <f t="shared" si="3"/>
        <v>182480</v>
      </c>
      <c r="V57" s="81"/>
    </row>
    <row r="58" spans="1:22" s="5" customFormat="1" ht="12">
      <c r="A58" s="8">
        <v>10402</v>
      </c>
      <c r="B58" s="5" t="s">
        <v>146</v>
      </c>
      <c r="C58" s="22">
        <v>0</v>
      </c>
      <c r="D58" s="21"/>
      <c r="E58" s="22">
        <f t="shared" si="0"/>
        <v>0</v>
      </c>
      <c r="F58" s="21"/>
      <c r="G58" s="20">
        <f>5000000-5000000</f>
        <v>0</v>
      </c>
      <c r="H58" s="20"/>
      <c r="I58" s="20">
        <f t="shared" si="1"/>
        <v>0</v>
      </c>
      <c r="J58" s="19"/>
      <c r="K58" s="43">
        <v>0</v>
      </c>
      <c r="L58" s="43"/>
      <c r="M58" s="44">
        <f t="shared" si="2"/>
        <v>0</v>
      </c>
      <c r="N58" s="42"/>
      <c r="O58" s="55">
        <v>0</v>
      </c>
      <c r="P58" s="55"/>
      <c r="Q58" s="56">
        <v>0</v>
      </c>
      <c r="R58" s="54"/>
      <c r="S58" s="82"/>
      <c r="T58" s="82"/>
      <c r="U58" s="82">
        <f t="shared" si="3"/>
        <v>0</v>
      </c>
      <c r="V58" s="81"/>
    </row>
    <row r="59" spans="1:22" s="5" customFormat="1" ht="12">
      <c r="A59" s="8">
        <v>10403</v>
      </c>
      <c r="B59" s="5" t="s">
        <v>35</v>
      </c>
      <c r="C59" s="22">
        <f>5000000-5000000</f>
        <v>0</v>
      </c>
      <c r="D59" s="22"/>
      <c r="E59" s="22">
        <f t="shared" si="0"/>
        <v>0</v>
      </c>
      <c r="F59" s="21"/>
      <c r="G59" s="20">
        <f>3000000-1011000</f>
        <v>1989000</v>
      </c>
      <c r="H59" s="20">
        <f>+'[2]Asientos del Diario'!$E$938</f>
        <v>1989000</v>
      </c>
      <c r="I59" s="20">
        <f t="shared" si="1"/>
        <v>0</v>
      </c>
      <c r="J59" s="19"/>
      <c r="K59" s="43">
        <v>3000000</v>
      </c>
      <c r="L59" s="43">
        <v>2802210</v>
      </c>
      <c r="M59" s="44">
        <f t="shared" si="2"/>
        <v>197790</v>
      </c>
      <c r="N59" s="42"/>
      <c r="O59" s="55">
        <v>0</v>
      </c>
      <c r="P59" s="55"/>
      <c r="Q59" s="56">
        <v>0</v>
      </c>
      <c r="R59" s="54"/>
      <c r="S59" s="82"/>
      <c r="T59" s="82"/>
      <c r="U59" s="82">
        <f t="shared" si="3"/>
        <v>0</v>
      </c>
      <c r="V59" s="81"/>
    </row>
    <row r="60" spans="1:22" s="5" customFormat="1" ht="12">
      <c r="A60" s="8">
        <v>10404</v>
      </c>
      <c r="B60" s="5" t="s">
        <v>136</v>
      </c>
      <c r="C60" s="22">
        <v>0</v>
      </c>
      <c r="D60" s="21"/>
      <c r="E60" s="22">
        <f t="shared" si="0"/>
        <v>0</v>
      </c>
      <c r="F60" s="21"/>
      <c r="G60" s="20">
        <v>0</v>
      </c>
      <c r="H60" s="20">
        <v>0</v>
      </c>
      <c r="I60" s="20">
        <f t="shared" si="1"/>
        <v>0</v>
      </c>
      <c r="J60" s="19"/>
      <c r="K60" s="43">
        <v>9000000</v>
      </c>
      <c r="L60" s="43">
        <v>7000000</v>
      </c>
      <c r="M60" s="44">
        <f t="shared" si="2"/>
        <v>2000000</v>
      </c>
      <c r="N60" s="42"/>
      <c r="O60" s="55">
        <v>8000000</v>
      </c>
      <c r="P60" s="55">
        <v>3500000</v>
      </c>
      <c r="Q60" s="56">
        <v>4500000</v>
      </c>
      <c r="R60" s="54"/>
      <c r="S60" s="82">
        <v>14000000</v>
      </c>
      <c r="T60" s="82">
        <f>+'[3]Asientos del Diario'!$E$990</f>
        <v>8050000</v>
      </c>
      <c r="U60" s="82">
        <f t="shared" si="3"/>
        <v>5950000</v>
      </c>
      <c r="V60" s="81"/>
    </row>
    <row r="61" spans="1:22" s="5" customFormat="1" ht="12">
      <c r="A61" s="8">
        <v>10405</v>
      </c>
      <c r="B61" s="5" t="s">
        <v>122</v>
      </c>
      <c r="C61" s="22">
        <v>7500000</v>
      </c>
      <c r="D61" s="22">
        <f>+'[1]Asientos del Diario'!$E$907</f>
        <v>7000000</v>
      </c>
      <c r="E61" s="22">
        <f t="shared" si="0"/>
        <v>500000</v>
      </c>
      <c r="F61" s="21"/>
      <c r="G61" s="20">
        <f>12000000-4439420</f>
        <v>7560580</v>
      </c>
      <c r="H61" s="20">
        <f>+'[2]Asientos del Diario'!$E$950</f>
        <v>7560580</v>
      </c>
      <c r="I61" s="20">
        <f t="shared" si="1"/>
        <v>0</v>
      </c>
      <c r="J61" s="19"/>
      <c r="K61" s="43">
        <v>23000000</v>
      </c>
      <c r="L61" s="43">
        <v>22657105</v>
      </c>
      <c r="M61" s="44">
        <f t="shared" si="2"/>
        <v>342895</v>
      </c>
      <c r="N61" s="42"/>
      <c r="O61" s="55">
        <v>46300000</v>
      </c>
      <c r="P61" s="55">
        <v>19856000</v>
      </c>
      <c r="Q61" s="56">
        <v>26444000</v>
      </c>
      <c r="R61" s="54"/>
      <c r="S61" s="82">
        <v>0</v>
      </c>
      <c r="T61" s="82"/>
      <c r="U61" s="82">
        <f t="shared" si="3"/>
        <v>0</v>
      </c>
      <c r="V61" s="81"/>
    </row>
    <row r="62" spans="1:22" s="5" customFormat="1" ht="12">
      <c r="A62" s="8">
        <v>10406</v>
      </c>
      <c r="B62" s="5" t="s">
        <v>36</v>
      </c>
      <c r="C62" s="22">
        <v>25000000</v>
      </c>
      <c r="D62" s="22">
        <f>+'[1]Asientos del Diario'!$E$919</f>
        <v>21656873</v>
      </c>
      <c r="E62" s="22">
        <f t="shared" si="0"/>
        <v>3343127</v>
      </c>
      <c r="F62" s="21"/>
      <c r="G62" s="20">
        <f>108400000-4000000+1000000</f>
        <v>105400000</v>
      </c>
      <c r="H62" s="20">
        <f>+'[2]Asientos del Diario'!$E$1056</f>
        <v>104403938.08000003</v>
      </c>
      <c r="I62" s="20">
        <f t="shared" si="1"/>
        <v>996061.919999972</v>
      </c>
      <c r="J62" s="19"/>
      <c r="K62" s="43">
        <v>113300000</v>
      </c>
      <c r="L62" s="43">
        <v>109957313.90999997</v>
      </c>
      <c r="M62" s="44">
        <f t="shared" si="2"/>
        <v>3342686.0900000334</v>
      </c>
      <c r="N62" s="42"/>
      <c r="O62" s="55">
        <v>106000000</v>
      </c>
      <c r="P62" s="55">
        <v>103781360.75000001</v>
      </c>
      <c r="Q62" s="56">
        <v>2218639.249999985</v>
      </c>
      <c r="R62" s="54"/>
      <c r="S62" s="82">
        <v>108500000</v>
      </c>
      <c r="T62" s="82">
        <f>+'[3]Asientos del Diario'!$E$1108</f>
        <v>105876398.51</v>
      </c>
      <c r="U62" s="82">
        <f t="shared" si="3"/>
        <v>2623601.4899999946</v>
      </c>
      <c r="V62" s="81"/>
    </row>
    <row r="63" spans="1:22" s="5" customFormat="1" ht="12">
      <c r="A63" s="8">
        <v>10499</v>
      </c>
      <c r="B63" s="5" t="s">
        <v>37</v>
      </c>
      <c r="C63" s="22">
        <f>112500000-4900000</f>
        <v>107600000</v>
      </c>
      <c r="D63" s="22">
        <f>+'[1]Asientos del Diario'!$E$1025</f>
        <v>102653227.16999997</v>
      </c>
      <c r="E63" s="22">
        <f t="shared" si="0"/>
        <v>4946772.830000028</v>
      </c>
      <c r="F63" s="21"/>
      <c r="G63" s="20">
        <f>7300000+1500000</f>
        <v>8800000</v>
      </c>
      <c r="H63" s="20">
        <f>+'[2]Asientos del Diario'!$E$1118</f>
        <v>7019969.89</v>
      </c>
      <c r="I63" s="20">
        <f t="shared" si="1"/>
        <v>1780030.1100000003</v>
      </c>
      <c r="J63" s="19"/>
      <c r="K63" s="43">
        <v>10200000</v>
      </c>
      <c r="L63" s="43">
        <v>5427909.9399999995</v>
      </c>
      <c r="M63" s="44">
        <f t="shared" si="2"/>
        <v>4772090.0600000005</v>
      </c>
      <c r="N63" s="42"/>
      <c r="O63" s="55">
        <v>12000000</v>
      </c>
      <c r="P63" s="55">
        <v>11896173.2</v>
      </c>
      <c r="Q63" s="56">
        <v>103826.80000000075</v>
      </c>
      <c r="R63" s="54"/>
      <c r="S63" s="82">
        <f>5000000+4150000</f>
        <v>9150000</v>
      </c>
      <c r="T63" s="82">
        <f>+'[3]Asientos del Diario'!$E$1170</f>
        <v>5874427.32</v>
      </c>
      <c r="U63" s="82">
        <f t="shared" si="3"/>
        <v>3275572.6799999997</v>
      </c>
      <c r="V63" s="81"/>
    </row>
    <row r="64" spans="1:22" s="5" customFormat="1" ht="12">
      <c r="A64" s="9">
        <v>105</v>
      </c>
      <c r="B64" s="7" t="s">
        <v>38</v>
      </c>
      <c r="C64" s="22">
        <v>8000000</v>
      </c>
      <c r="D64" s="22">
        <f>+'[1]Asientos del Diario'!$E$1087</f>
        <v>7089011.87</v>
      </c>
      <c r="E64" s="22">
        <f t="shared" si="0"/>
        <v>910988.1299999999</v>
      </c>
      <c r="F64" s="21"/>
      <c r="G64" s="20"/>
      <c r="H64" s="19"/>
      <c r="I64" s="20">
        <f t="shared" si="1"/>
        <v>0</v>
      </c>
      <c r="J64" s="19"/>
      <c r="K64" s="43"/>
      <c r="L64" s="43"/>
      <c r="M64" s="44">
        <f t="shared" si="2"/>
        <v>0</v>
      </c>
      <c r="N64" s="42"/>
      <c r="O64" s="55" t="s">
        <v>116</v>
      </c>
      <c r="P64" s="55"/>
      <c r="Q64" s="56">
        <v>0</v>
      </c>
      <c r="R64" s="54"/>
      <c r="S64" s="82">
        <f>SUM(S65:S68)</f>
        <v>32750000</v>
      </c>
      <c r="T64" s="81"/>
      <c r="U64" s="82">
        <f t="shared" si="3"/>
        <v>32750000</v>
      </c>
      <c r="V64" s="81"/>
    </row>
    <row r="65" spans="1:22" s="5" customFormat="1" ht="12">
      <c r="A65" s="8">
        <v>10501</v>
      </c>
      <c r="B65" s="5" t="s">
        <v>39</v>
      </c>
      <c r="C65" s="22"/>
      <c r="D65" s="21"/>
      <c r="E65" s="22">
        <f t="shared" si="0"/>
        <v>0</v>
      </c>
      <c r="F65" s="21"/>
      <c r="G65" s="20">
        <v>2500000</v>
      </c>
      <c r="H65" s="20">
        <f>+'[2]Asientos del Diario'!$E$1171</f>
        <v>1559965</v>
      </c>
      <c r="I65" s="20">
        <f t="shared" si="1"/>
        <v>940035</v>
      </c>
      <c r="J65" s="19"/>
      <c r="K65" s="43">
        <v>2000000</v>
      </c>
      <c r="L65" s="43">
        <v>1605665</v>
      </c>
      <c r="M65" s="44">
        <f t="shared" si="2"/>
        <v>394335</v>
      </c>
      <c r="N65" s="42"/>
      <c r="O65" s="55">
        <v>1600000</v>
      </c>
      <c r="P65" s="55">
        <v>1589860</v>
      </c>
      <c r="Q65" s="56">
        <v>10140</v>
      </c>
      <c r="R65" s="54"/>
      <c r="S65" s="82">
        <v>2000000</v>
      </c>
      <c r="T65" s="82">
        <f>+'[3]Asientos del Diario'!$E$1223</f>
        <v>1718508</v>
      </c>
      <c r="U65" s="82">
        <f t="shared" si="3"/>
        <v>281492</v>
      </c>
      <c r="V65" s="81"/>
    </row>
    <row r="66" spans="1:22" s="5" customFormat="1" ht="12">
      <c r="A66" s="8">
        <v>10502</v>
      </c>
      <c r="B66" s="5" t="s">
        <v>40</v>
      </c>
      <c r="C66" s="22">
        <f>3500000-1500000</f>
        <v>2000000</v>
      </c>
      <c r="D66" s="22">
        <f>+'[1]Asientos del Diario'!$E$1119</f>
        <v>1486395</v>
      </c>
      <c r="E66" s="22">
        <f t="shared" si="0"/>
        <v>513605</v>
      </c>
      <c r="F66" s="21"/>
      <c r="G66" s="20">
        <f>25000000-3090000+3500000</f>
        <v>25410000</v>
      </c>
      <c r="H66" s="20">
        <f>+'[2]Asientos del Diario'!$E$1377</f>
        <v>24325588.66</v>
      </c>
      <c r="I66" s="20">
        <f t="shared" si="1"/>
        <v>1084411.3399999999</v>
      </c>
      <c r="J66" s="19"/>
      <c r="K66" s="43">
        <v>25000000</v>
      </c>
      <c r="L66" s="43">
        <v>21760088</v>
      </c>
      <c r="M66" s="44">
        <f t="shared" si="2"/>
        <v>3239912</v>
      </c>
      <c r="N66" s="42"/>
      <c r="O66" s="55">
        <v>20000000</v>
      </c>
      <c r="P66" s="55">
        <v>19440782.79</v>
      </c>
      <c r="Q66" s="56">
        <v>559217.2100000009</v>
      </c>
      <c r="R66" s="54"/>
      <c r="S66" s="82">
        <f>25000000-1750000</f>
        <v>23250000</v>
      </c>
      <c r="T66" s="82">
        <f>+'[3]Asientos del Diario'!$E$1427</f>
        <v>21709015.93</v>
      </c>
      <c r="U66" s="82">
        <f>+S66-T66</f>
        <v>1540984.0700000003</v>
      </c>
      <c r="V66" s="81"/>
    </row>
    <row r="67" spans="1:22" s="5" customFormat="1" ht="12">
      <c r="A67" s="8">
        <v>10503</v>
      </c>
      <c r="B67" s="5" t="s">
        <v>41</v>
      </c>
      <c r="C67" s="22">
        <f>28000000-9000000</f>
        <v>19000000</v>
      </c>
      <c r="D67" s="22">
        <f>+'[1]Asientos del Diario'!$E$1161</f>
        <v>18999551.759999998</v>
      </c>
      <c r="E67" s="22">
        <f t="shared" si="0"/>
        <v>448.24000000208616</v>
      </c>
      <c r="F67" s="21"/>
      <c r="G67" s="20">
        <v>3000000</v>
      </c>
      <c r="H67" s="20">
        <f>+'[2]Asientos del Diario'!$E$1389</f>
        <v>1849564.6</v>
      </c>
      <c r="I67" s="20">
        <f t="shared" si="1"/>
        <v>1150435.4</v>
      </c>
      <c r="J67" s="19"/>
      <c r="K67" s="43">
        <v>3000000</v>
      </c>
      <c r="L67" s="43">
        <v>1300750.3699999999</v>
      </c>
      <c r="M67" s="44">
        <f t="shared" si="2"/>
        <v>1699249.6300000001</v>
      </c>
      <c r="N67" s="42"/>
      <c r="O67" s="55">
        <v>3000000</v>
      </c>
      <c r="P67" s="55">
        <v>1654522.83</v>
      </c>
      <c r="Q67" s="56">
        <v>1345477.17</v>
      </c>
      <c r="R67" s="54"/>
      <c r="S67" s="82">
        <v>3000000</v>
      </c>
      <c r="T67" s="82">
        <f>+'[3]Asientos del Diario'!$E$1439</f>
        <v>2859552.34</v>
      </c>
      <c r="U67" s="82">
        <f t="shared" si="3"/>
        <v>140447.66000000015</v>
      </c>
      <c r="V67" s="81"/>
    </row>
    <row r="68" spans="1:22" s="5" customFormat="1" ht="12">
      <c r="A68" s="8">
        <v>10504</v>
      </c>
      <c r="B68" s="5" t="s">
        <v>42</v>
      </c>
      <c r="C68" s="22">
        <v>3000000</v>
      </c>
      <c r="D68" s="22">
        <f>+'[1]Asientos del Diario'!$E$1172</f>
        <v>2253500.82</v>
      </c>
      <c r="E68" s="22">
        <f t="shared" si="0"/>
        <v>746499.1800000002</v>
      </c>
      <c r="F68" s="21"/>
      <c r="G68" s="20">
        <v>3000000</v>
      </c>
      <c r="H68" s="20">
        <f>+'[2]Asientos del Diario'!$E$1409</f>
        <v>2410093.51</v>
      </c>
      <c r="I68" s="20">
        <f t="shared" si="1"/>
        <v>589906.4900000002</v>
      </c>
      <c r="J68" s="19"/>
      <c r="K68" s="43">
        <v>4500000</v>
      </c>
      <c r="L68" s="43">
        <v>3265365.21</v>
      </c>
      <c r="M68" s="44">
        <f t="shared" si="2"/>
        <v>1234634.79</v>
      </c>
      <c r="N68" s="42"/>
      <c r="O68" s="55">
        <v>4500000</v>
      </c>
      <c r="P68" s="55">
        <v>2550090.02</v>
      </c>
      <c r="Q68" s="56">
        <v>1949909.98</v>
      </c>
      <c r="R68" s="54"/>
      <c r="S68" s="82">
        <v>4500000</v>
      </c>
      <c r="T68" s="82">
        <f>+'[3]Asientos del Diario'!$E$1459</f>
        <v>1866550.74</v>
      </c>
      <c r="U68" s="82">
        <f t="shared" si="3"/>
        <v>2633449.26</v>
      </c>
      <c r="V68" s="81"/>
    </row>
    <row r="69" spans="1:22" s="5" customFormat="1" ht="12">
      <c r="A69" s="9">
        <v>106</v>
      </c>
      <c r="B69" s="7" t="s">
        <v>107</v>
      </c>
      <c r="C69" s="22">
        <v>3000000</v>
      </c>
      <c r="D69" s="22">
        <f>+'[1]Asientos del Diario'!$E$1192</f>
        <v>3000000</v>
      </c>
      <c r="E69" s="22">
        <f t="shared" si="0"/>
        <v>0</v>
      </c>
      <c r="F69" s="21"/>
      <c r="G69" s="20"/>
      <c r="H69" s="19"/>
      <c r="I69" s="20">
        <f t="shared" si="1"/>
        <v>0</v>
      </c>
      <c r="J69" s="19"/>
      <c r="K69" s="43"/>
      <c r="L69" s="43"/>
      <c r="M69" s="44">
        <f t="shared" si="2"/>
        <v>0</v>
      </c>
      <c r="N69" s="42"/>
      <c r="O69" s="55" t="s">
        <v>116</v>
      </c>
      <c r="P69" s="55"/>
      <c r="Q69" s="56" t="s">
        <v>116</v>
      </c>
      <c r="R69" s="54"/>
      <c r="S69" s="82">
        <f>SUM(S70)</f>
        <v>38000000</v>
      </c>
      <c r="T69" s="81"/>
      <c r="U69" s="82">
        <f t="shared" si="3"/>
        <v>38000000</v>
      </c>
      <c r="V69" s="81"/>
    </row>
    <row r="70" spans="1:22" s="5" customFormat="1" ht="12">
      <c r="A70" s="8">
        <v>10601</v>
      </c>
      <c r="B70" s="5" t="s">
        <v>43</v>
      </c>
      <c r="C70" s="22"/>
      <c r="D70" s="21"/>
      <c r="E70" s="22">
        <f t="shared" si="0"/>
        <v>0</v>
      </c>
      <c r="F70" s="21"/>
      <c r="G70" s="20">
        <f>38000000-2000000-1500000</f>
        <v>34500000</v>
      </c>
      <c r="H70" s="20">
        <f>+'[2]Asientos del Diario'!$E$1445</f>
        <v>32125077</v>
      </c>
      <c r="I70" s="20">
        <f t="shared" si="1"/>
        <v>2374923</v>
      </c>
      <c r="J70" s="19"/>
      <c r="K70" s="43">
        <v>34500000</v>
      </c>
      <c r="L70" s="43">
        <v>34374021</v>
      </c>
      <c r="M70" s="44">
        <f t="shared" si="2"/>
        <v>125979</v>
      </c>
      <c r="N70" s="42"/>
      <c r="O70" s="55">
        <v>39500000</v>
      </c>
      <c r="P70" s="55">
        <v>37398127.28</v>
      </c>
      <c r="Q70" s="56">
        <v>2101872.719999999</v>
      </c>
      <c r="R70" s="54"/>
      <c r="S70" s="82">
        <f>41000000-3000000</f>
        <v>38000000</v>
      </c>
      <c r="T70" s="82">
        <f>+'[3]Asientos del Diario'!$E$1495</f>
        <v>36692844</v>
      </c>
      <c r="U70" s="82">
        <f t="shared" si="3"/>
        <v>1307156</v>
      </c>
      <c r="V70" s="81"/>
    </row>
    <row r="71" spans="1:22" s="5" customFormat="1" ht="12">
      <c r="A71" s="9">
        <v>107</v>
      </c>
      <c r="B71" s="7" t="s">
        <v>44</v>
      </c>
      <c r="C71" s="22">
        <f>40000000-8500000</f>
        <v>31500000</v>
      </c>
      <c r="D71" s="22">
        <f>+'[1]Asientos del Diario'!$E$1228</f>
        <v>30216283</v>
      </c>
      <c r="E71" s="22">
        <f t="shared" si="0"/>
        <v>1283717</v>
      </c>
      <c r="F71" s="21"/>
      <c r="G71" s="20"/>
      <c r="H71" s="19"/>
      <c r="I71" s="20">
        <f t="shared" si="1"/>
        <v>0</v>
      </c>
      <c r="J71" s="19"/>
      <c r="K71" s="43"/>
      <c r="L71" s="43"/>
      <c r="M71" s="44">
        <f t="shared" si="2"/>
        <v>0</v>
      </c>
      <c r="N71" s="42"/>
      <c r="O71" s="55" t="s">
        <v>116</v>
      </c>
      <c r="P71" s="55"/>
      <c r="Q71" s="56" t="s">
        <v>116</v>
      </c>
      <c r="R71" s="54"/>
      <c r="S71" s="82">
        <f>SUM(S72:S74)</f>
        <v>14700000</v>
      </c>
      <c r="T71" s="81"/>
      <c r="U71" s="82">
        <f t="shared" si="3"/>
        <v>14700000</v>
      </c>
      <c r="V71" s="81"/>
    </row>
    <row r="72" spans="1:22" s="5" customFormat="1" ht="12">
      <c r="A72" s="8">
        <v>10701</v>
      </c>
      <c r="B72" s="5" t="s">
        <v>45</v>
      </c>
      <c r="C72" s="22"/>
      <c r="D72" s="21"/>
      <c r="E72" s="22">
        <f t="shared" si="0"/>
        <v>0</v>
      </c>
      <c r="F72" s="21"/>
      <c r="G72" s="20">
        <f>4000000+1000000+1500000</f>
        <v>6500000</v>
      </c>
      <c r="H72" s="20">
        <f>+'[2]Asientos del Diario'!$E$1487</f>
        <v>4734761.2</v>
      </c>
      <c r="I72" s="20">
        <f t="shared" si="1"/>
        <v>1765238.7999999998</v>
      </c>
      <c r="J72" s="19"/>
      <c r="K72" s="43">
        <v>10000000</v>
      </c>
      <c r="L72" s="43">
        <v>7472641.84</v>
      </c>
      <c r="M72" s="44">
        <f t="shared" si="2"/>
        <v>2527358.16</v>
      </c>
      <c r="N72" s="42"/>
      <c r="O72" s="55">
        <v>10000000</v>
      </c>
      <c r="P72" s="55">
        <v>8970239.6</v>
      </c>
      <c r="Q72" s="56">
        <v>1029760.4000000004</v>
      </c>
      <c r="R72" s="54"/>
      <c r="S72" s="82">
        <v>10000000</v>
      </c>
      <c r="T72" s="82">
        <f>+'[3]Asientos del Diario'!$E$1542</f>
        <v>6281791.04</v>
      </c>
      <c r="U72" s="82">
        <f t="shared" si="3"/>
        <v>3718208.96</v>
      </c>
      <c r="V72" s="81"/>
    </row>
    <row r="73" spans="1:22" s="5" customFormat="1" ht="12">
      <c r="A73" s="8">
        <v>10702</v>
      </c>
      <c r="B73" s="5" t="s">
        <v>46</v>
      </c>
      <c r="C73" s="22">
        <v>8000000</v>
      </c>
      <c r="D73" s="22">
        <f>+'[1]Asientos del Diario'!$E$1268</f>
        <v>7750553.2</v>
      </c>
      <c r="E73" s="22">
        <f t="shared" si="0"/>
        <v>249446.7999999998</v>
      </c>
      <c r="F73" s="21"/>
      <c r="G73" s="20">
        <v>2000000</v>
      </c>
      <c r="H73" s="20">
        <f>+'[2]Asientos del Diario'!$E$1524</f>
        <v>1604443.6400000001</v>
      </c>
      <c r="I73" s="20">
        <f t="shared" si="1"/>
        <v>395556.35999999987</v>
      </c>
      <c r="J73" s="19"/>
      <c r="K73" s="43">
        <v>3000000</v>
      </c>
      <c r="L73" s="43">
        <v>2114340</v>
      </c>
      <c r="M73" s="44">
        <f t="shared" si="2"/>
        <v>885660</v>
      </c>
      <c r="N73" s="42"/>
      <c r="O73" s="55">
        <v>4000000</v>
      </c>
      <c r="P73" s="55">
        <v>2909600</v>
      </c>
      <c r="Q73" s="56">
        <v>1090400</v>
      </c>
      <c r="R73" s="54"/>
      <c r="S73" s="82">
        <v>4500000</v>
      </c>
      <c r="T73" s="82">
        <f>+'[3]Asientos del Diario'!$E$1579</f>
        <v>4440217</v>
      </c>
      <c r="U73" s="82">
        <f t="shared" si="3"/>
        <v>59783</v>
      </c>
      <c r="V73" s="81"/>
    </row>
    <row r="74" spans="1:22" s="5" customFormat="1" ht="12">
      <c r="A74" s="8">
        <v>10703</v>
      </c>
      <c r="B74" s="5" t="s">
        <v>47</v>
      </c>
      <c r="C74" s="22">
        <f>6000000-2000000-1700000</f>
        <v>2300000</v>
      </c>
      <c r="D74" s="22">
        <f>+'[1]Asientos del Diario'!$E$1305</f>
        <v>1916292.64</v>
      </c>
      <c r="E74" s="22">
        <f t="shared" si="0"/>
        <v>383707.3600000001</v>
      </c>
      <c r="F74" s="21"/>
      <c r="G74" s="20">
        <f>150000+100000</f>
        <v>250000</v>
      </c>
      <c r="H74" s="20">
        <f>+'[2]Asientos del Diario'!$E$1535</f>
        <v>249999.92</v>
      </c>
      <c r="I74" s="20">
        <f t="shared" si="1"/>
        <v>0.07999999998719431</v>
      </c>
      <c r="J74" s="19"/>
      <c r="K74" s="43">
        <v>200000</v>
      </c>
      <c r="L74" s="43">
        <v>68600</v>
      </c>
      <c r="M74" s="44">
        <f t="shared" si="2"/>
        <v>131400</v>
      </c>
      <c r="N74" s="42"/>
      <c r="O74" s="55">
        <v>200000</v>
      </c>
      <c r="P74" s="55"/>
      <c r="Q74" s="56">
        <v>200000</v>
      </c>
      <c r="R74" s="54"/>
      <c r="S74" s="82">
        <v>200000</v>
      </c>
      <c r="T74" s="82">
        <f>+'[3]Asientos del Diario'!$E$1590</f>
        <v>172203.22</v>
      </c>
      <c r="U74" s="82">
        <f t="shared" si="3"/>
        <v>27796.78</v>
      </c>
      <c r="V74" s="81"/>
    </row>
    <row r="75" spans="1:22" s="5" customFormat="1" ht="12">
      <c r="A75" s="9">
        <v>108</v>
      </c>
      <c r="B75" s="7" t="s">
        <v>48</v>
      </c>
      <c r="C75" s="22">
        <v>500000</v>
      </c>
      <c r="D75" s="22">
        <f>+'[1]Asientos del Diario'!$E$1316</f>
        <v>245983</v>
      </c>
      <c r="E75" s="22">
        <f t="shared" si="0"/>
        <v>254017</v>
      </c>
      <c r="F75" s="21"/>
      <c r="G75" s="20"/>
      <c r="H75" s="19"/>
      <c r="I75" s="20">
        <f t="shared" si="1"/>
        <v>0</v>
      </c>
      <c r="J75" s="19"/>
      <c r="K75" s="43"/>
      <c r="L75" s="43"/>
      <c r="M75" s="44">
        <f t="shared" si="2"/>
        <v>0</v>
      </c>
      <c r="N75" s="42"/>
      <c r="O75" s="55" t="s">
        <v>116</v>
      </c>
      <c r="P75" s="55"/>
      <c r="Q75" s="56" t="s">
        <v>116</v>
      </c>
      <c r="R75" s="54"/>
      <c r="S75" s="82">
        <f>SUM(S76:S82)</f>
        <v>38177000</v>
      </c>
      <c r="T75" s="81"/>
      <c r="U75" s="82">
        <f t="shared" si="3"/>
        <v>38177000</v>
      </c>
      <c r="V75" s="81"/>
    </row>
    <row r="76" spans="1:22" s="5" customFormat="1" ht="12">
      <c r="A76" s="8">
        <v>10801</v>
      </c>
      <c r="B76" s="5" t="s">
        <v>49</v>
      </c>
      <c r="C76" s="22"/>
      <c r="D76" s="21"/>
      <c r="E76" s="22">
        <f t="shared" si="0"/>
        <v>0</v>
      </c>
      <c r="F76" s="21"/>
      <c r="G76" s="20">
        <f>15000000-6500000</f>
        <v>8500000</v>
      </c>
      <c r="H76" s="20">
        <f>+'[2]Asientos del Diario'!$E$1561</f>
        <v>8327980.609999999</v>
      </c>
      <c r="I76" s="20">
        <f aca="true" t="shared" si="4" ref="I76:I139">+G76-H76</f>
        <v>172019.3900000006</v>
      </c>
      <c r="J76" s="19"/>
      <c r="K76" s="43">
        <v>29000000</v>
      </c>
      <c r="L76" s="43">
        <v>19783162.29</v>
      </c>
      <c r="M76" s="44">
        <f aca="true" t="shared" si="5" ref="M76:M139">+K76-L76</f>
        <v>9216837.71</v>
      </c>
      <c r="N76" s="42"/>
      <c r="O76" s="55">
        <v>27000000</v>
      </c>
      <c r="P76" s="55">
        <v>17610935.52</v>
      </c>
      <c r="Q76" s="56">
        <v>9389064.48</v>
      </c>
      <c r="R76" s="54"/>
      <c r="S76" s="82">
        <f>13177000+8000000</f>
        <v>21177000</v>
      </c>
      <c r="T76" s="82">
        <f>+'[3]Asientos del Diario'!$E$1616</f>
        <v>15347506.88</v>
      </c>
      <c r="U76" s="82">
        <f t="shared" si="3"/>
        <v>5829493.119999999</v>
      </c>
      <c r="V76" s="81"/>
    </row>
    <row r="77" spans="1:22" s="5" customFormat="1" ht="12">
      <c r="A77" s="8">
        <v>10804</v>
      </c>
      <c r="B77" s="5" t="s">
        <v>106</v>
      </c>
      <c r="C77" s="22">
        <f>16000000-10000000</f>
        <v>6000000</v>
      </c>
      <c r="D77" s="22">
        <f>+'[1]Asientos del Diario'!$E$1342</f>
        <v>5618055.8</v>
      </c>
      <c r="E77" s="22">
        <f aca="true" t="shared" si="6" ref="E77:E89">+C77-D77</f>
        <v>381944.2000000002</v>
      </c>
      <c r="F77" s="21"/>
      <c r="G77" s="20">
        <v>5000000</v>
      </c>
      <c r="H77" s="20">
        <f>+'[2]Asientos del Diario'!$E$1577</f>
        <v>3960790</v>
      </c>
      <c r="I77" s="20">
        <f t="shared" si="4"/>
        <v>1039210</v>
      </c>
      <c r="J77" s="19"/>
      <c r="K77" s="43">
        <v>5500000</v>
      </c>
      <c r="L77" s="43">
        <v>3142650</v>
      </c>
      <c r="M77" s="44">
        <f t="shared" si="5"/>
        <v>2357350</v>
      </c>
      <c r="N77" s="42"/>
      <c r="O77" s="55">
        <v>6100000</v>
      </c>
      <c r="P77" s="55">
        <v>5976150.8</v>
      </c>
      <c r="Q77" s="56">
        <v>123849.20000000019</v>
      </c>
      <c r="R77" s="54"/>
      <c r="S77" s="82">
        <f>5600000-1000000</f>
        <v>4600000</v>
      </c>
      <c r="T77" s="82">
        <f>+'[3]Asientos del Diario'!$E$1632</f>
        <v>4522569.48</v>
      </c>
      <c r="U77" s="82">
        <f>+S77-T77</f>
        <v>77430.51999999955</v>
      </c>
      <c r="V77" s="81"/>
    </row>
    <row r="78" spans="1:22" s="5" customFormat="1" ht="12">
      <c r="A78" s="8">
        <v>10805</v>
      </c>
      <c r="B78" s="5" t="s">
        <v>142</v>
      </c>
      <c r="C78" s="22">
        <v>4000000</v>
      </c>
      <c r="D78" s="22">
        <f>+'[1]Asientos del Diario'!$E$1358</f>
        <v>3190900</v>
      </c>
      <c r="E78" s="22">
        <f t="shared" si="6"/>
        <v>809100</v>
      </c>
      <c r="F78" s="21"/>
      <c r="G78" s="20">
        <f>9500000+500000</f>
        <v>10000000</v>
      </c>
      <c r="H78" s="20">
        <f>+'[2]Asientos del Diario'!$E$1706</f>
        <v>9585293.180000002</v>
      </c>
      <c r="I78" s="20">
        <f t="shared" si="4"/>
        <v>414706.81999999844</v>
      </c>
      <c r="J78" s="19"/>
      <c r="K78" s="43">
        <v>11000000</v>
      </c>
      <c r="L78" s="43">
        <v>11222437.64</v>
      </c>
      <c r="M78" s="44">
        <f t="shared" si="5"/>
        <v>-222437.6400000006</v>
      </c>
      <c r="N78" s="42"/>
      <c r="O78" s="55">
        <v>11000000</v>
      </c>
      <c r="P78" s="55">
        <v>10172177.85</v>
      </c>
      <c r="Q78" s="56">
        <v>827822.1500000004</v>
      </c>
      <c r="R78" s="54"/>
      <c r="S78" s="82">
        <f>12000000-5000000</f>
        <v>7000000</v>
      </c>
      <c r="T78" s="82">
        <f>+'[3]Asientos del Diario'!$E$1761</f>
        <v>5843905.58</v>
      </c>
      <c r="U78" s="82">
        <f aca="true" t="shared" si="7" ref="U78:U141">+S78-T78</f>
        <v>1156094.42</v>
      </c>
      <c r="V78" s="81"/>
    </row>
    <row r="79" spans="1:22" s="5" customFormat="1" ht="12">
      <c r="A79" s="8">
        <v>10806</v>
      </c>
      <c r="B79" s="5" t="s">
        <v>105</v>
      </c>
      <c r="C79" s="22">
        <f>6000000+3000000+2000000</f>
        <v>11000000</v>
      </c>
      <c r="D79" s="22">
        <f>+'[1]Asientos del Diario'!$E$1485</f>
        <v>10906690.46</v>
      </c>
      <c r="E79" s="22">
        <f t="shared" si="6"/>
        <v>93309.5399999991</v>
      </c>
      <c r="F79" s="21"/>
      <c r="G79" s="20">
        <v>750000</v>
      </c>
      <c r="H79" s="20">
        <f>+'[2]Asientos del Diario'!$E$1723</f>
        <v>467405.89</v>
      </c>
      <c r="I79" s="20">
        <f t="shared" si="4"/>
        <v>282594.11</v>
      </c>
      <c r="J79" s="19"/>
      <c r="K79" s="43">
        <v>1000000</v>
      </c>
      <c r="L79" s="43">
        <v>48000</v>
      </c>
      <c r="M79" s="44">
        <f t="shared" si="5"/>
        <v>952000</v>
      </c>
      <c r="N79" s="42"/>
      <c r="O79" s="55">
        <v>750000</v>
      </c>
      <c r="P79" s="55">
        <v>212600</v>
      </c>
      <c r="Q79" s="56">
        <v>537400</v>
      </c>
      <c r="R79" s="54"/>
      <c r="S79" s="82">
        <f>750000-500000</f>
        <v>250000</v>
      </c>
      <c r="T79" s="82"/>
      <c r="U79" s="82">
        <f t="shared" si="7"/>
        <v>250000</v>
      </c>
      <c r="V79" s="81"/>
    </row>
    <row r="80" spans="1:22" s="5" customFormat="1" ht="12">
      <c r="A80" s="8">
        <v>10807</v>
      </c>
      <c r="B80" s="5" t="s">
        <v>104</v>
      </c>
      <c r="C80" s="22">
        <v>1000000</v>
      </c>
      <c r="D80" s="22">
        <f>+'[1]Asientos del Diario'!$E$1502</f>
        <v>596912.22</v>
      </c>
      <c r="E80" s="22">
        <f t="shared" si="6"/>
        <v>403087.78</v>
      </c>
      <c r="F80" s="21"/>
      <c r="G80" s="20">
        <f>3500000+2900000</f>
        <v>6400000</v>
      </c>
      <c r="H80" s="20">
        <f>+'[2]Asientos del Diario'!$E$1754</f>
        <v>6201071.38</v>
      </c>
      <c r="I80" s="20">
        <f t="shared" si="4"/>
        <v>198928.6200000001</v>
      </c>
      <c r="J80" s="19"/>
      <c r="K80" s="43">
        <v>4300000</v>
      </c>
      <c r="L80" s="43">
        <v>3696946.9499999997</v>
      </c>
      <c r="M80" s="44">
        <f t="shared" si="5"/>
        <v>603053.0500000003</v>
      </c>
      <c r="N80" s="42"/>
      <c r="O80" s="55">
        <v>6000000</v>
      </c>
      <c r="P80" s="55">
        <v>3062570.68</v>
      </c>
      <c r="Q80" s="56">
        <v>2937429.32</v>
      </c>
      <c r="R80" s="54"/>
      <c r="S80" s="82">
        <v>3500000</v>
      </c>
      <c r="T80" s="82">
        <f>+'[3]Asientos del Diario'!$E$1807</f>
        <v>3083807.86</v>
      </c>
      <c r="U80" s="82">
        <f t="shared" si="7"/>
        <v>416192.14000000013</v>
      </c>
      <c r="V80" s="81"/>
    </row>
    <row r="81" spans="1:22" s="5" customFormat="1" ht="12">
      <c r="A81" s="8">
        <v>10808</v>
      </c>
      <c r="B81" s="5" t="s">
        <v>103</v>
      </c>
      <c r="C81" s="22">
        <f>3000000+1000000</f>
        <v>4000000</v>
      </c>
      <c r="D81" s="22">
        <f>+'[1]Asientos del Diario'!$E$1533</f>
        <v>3594587.17</v>
      </c>
      <c r="E81" s="22">
        <f t="shared" si="6"/>
        <v>405412.8300000001</v>
      </c>
      <c r="F81" s="21"/>
      <c r="G81" s="20">
        <f>500000+1000000</f>
        <v>1500000</v>
      </c>
      <c r="H81" s="20">
        <f>+'[2]Asientos del Diario'!$E$1768</f>
        <v>807308.1300000001</v>
      </c>
      <c r="I81" s="20">
        <f t="shared" si="4"/>
        <v>692691.8699999999</v>
      </c>
      <c r="J81" s="19"/>
      <c r="K81" s="43">
        <v>2500000</v>
      </c>
      <c r="L81" s="43">
        <v>1913259.48</v>
      </c>
      <c r="M81" s="44">
        <f t="shared" si="5"/>
        <v>586740.52</v>
      </c>
      <c r="N81" s="42"/>
      <c r="O81" s="55">
        <v>2500000</v>
      </c>
      <c r="P81" s="55">
        <v>2174101.46</v>
      </c>
      <c r="Q81" s="56">
        <v>325898.54000000004</v>
      </c>
      <c r="R81" s="54"/>
      <c r="S81" s="82">
        <f>2500000-1000000</f>
        <v>1500000</v>
      </c>
      <c r="T81" s="82">
        <f>+'[3]Asientos del Diario'!$E$1826</f>
        <v>1499275.02</v>
      </c>
      <c r="U81" s="82">
        <f t="shared" si="7"/>
        <v>724.9799999999814</v>
      </c>
      <c r="V81" s="81"/>
    </row>
    <row r="82" spans="1:22" s="5" customFormat="1" ht="12">
      <c r="A82" s="8">
        <v>10899</v>
      </c>
      <c r="B82" s="5" t="s">
        <v>102</v>
      </c>
      <c r="C82" s="22">
        <v>2500000</v>
      </c>
      <c r="D82" s="22">
        <f>+'[1]Asientos del Diario'!$E$1547</f>
        <v>938825.1</v>
      </c>
      <c r="E82" s="22">
        <f t="shared" si="6"/>
        <v>1561174.9</v>
      </c>
      <c r="F82" s="21"/>
      <c r="G82" s="20">
        <v>150000</v>
      </c>
      <c r="H82" s="20">
        <f>+'[2]Asientos del Diario'!$E$1776</f>
        <v>135176.07</v>
      </c>
      <c r="I82" s="20">
        <f t="shared" si="4"/>
        <v>14823.929999999993</v>
      </c>
      <c r="J82" s="19"/>
      <c r="K82" s="43">
        <v>150000</v>
      </c>
      <c r="L82" s="43">
        <v>53272.1</v>
      </c>
      <c r="M82" s="44">
        <f t="shared" si="5"/>
        <v>96727.9</v>
      </c>
      <c r="N82" s="42"/>
      <c r="O82" s="55">
        <v>250000</v>
      </c>
      <c r="P82" s="55">
        <v>100221.24</v>
      </c>
      <c r="Q82" s="56">
        <v>149778.76</v>
      </c>
      <c r="R82" s="54"/>
      <c r="S82" s="82">
        <v>150000</v>
      </c>
      <c r="T82" s="82">
        <f>+'[3]Asientos del Diario'!$E$1834</f>
        <v>72375.02</v>
      </c>
      <c r="U82" s="82">
        <f t="shared" si="7"/>
        <v>77624.98</v>
      </c>
      <c r="V82" s="81"/>
    </row>
    <row r="83" spans="1:22" s="5" customFormat="1" ht="12">
      <c r="A83" s="9">
        <v>109</v>
      </c>
      <c r="B83" s="7" t="s">
        <v>134</v>
      </c>
      <c r="C83" s="22">
        <v>300000</v>
      </c>
      <c r="D83" s="22">
        <f>+'[1]Asientos del Diario'!$E$1555</f>
        <v>61530</v>
      </c>
      <c r="E83" s="22">
        <f t="shared" si="6"/>
        <v>238470</v>
      </c>
      <c r="F83" s="21"/>
      <c r="G83" s="20"/>
      <c r="H83" s="19"/>
      <c r="I83" s="20">
        <f t="shared" si="4"/>
        <v>0</v>
      </c>
      <c r="J83" s="19"/>
      <c r="K83" s="43"/>
      <c r="L83" s="43"/>
      <c r="M83" s="44">
        <f t="shared" si="5"/>
        <v>0</v>
      </c>
      <c r="N83" s="42"/>
      <c r="O83" s="55" t="s">
        <v>116</v>
      </c>
      <c r="P83" s="55"/>
      <c r="Q83" s="56" t="s">
        <v>116</v>
      </c>
      <c r="R83" s="54"/>
      <c r="S83" s="82">
        <f>SUM(S84)</f>
        <v>600000</v>
      </c>
      <c r="T83" s="81"/>
      <c r="U83" s="82">
        <f t="shared" si="7"/>
        <v>600000</v>
      </c>
      <c r="V83" s="81"/>
    </row>
    <row r="84" spans="1:22" s="5" customFormat="1" ht="12">
      <c r="A84" s="8">
        <v>10999</v>
      </c>
      <c r="B84" s="5" t="s">
        <v>135</v>
      </c>
      <c r="C84" s="22"/>
      <c r="D84" s="21"/>
      <c r="E84" s="22">
        <f t="shared" si="6"/>
        <v>0</v>
      </c>
      <c r="F84" s="21"/>
      <c r="G84" s="20">
        <v>600000</v>
      </c>
      <c r="H84" s="20">
        <f>+'[2]Asientos del Diario'!$E$1785</f>
        <v>328179</v>
      </c>
      <c r="I84" s="20">
        <f t="shared" si="4"/>
        <v>271821</v>
      </c>
      <c r="J84" s="19"/>
      <c r="K84" s="43">
        <v>600000</v>
      </c>
      <c r="L84" s="43">
        <v>338166</v>
      </c>
      <c r="M84" s="44">
        <f t="shared" si="5"/>
        <v>261834</v>
      </c>
      <c r="N84" s="42"/>
      <c r="O84" s="55">
        <v>600000</v>
      </c>
      <c r="P84" s="55">
        <v>411659</v>
      </c>
      <c r="Q84" s="56">
        <v>188341</v>
      </c>
      <c r="R84" s="54"/>
      <c r="S84" s="82">
        <v>600000</v>
      </c>
      <c r="T84" s="82">
        <f>+'[3]Asientos del Diario'!$E$1843</f>
        <v>485009</v>
      </c>
      <c r="U84" s="82">
        <f t="shared" si="7"/>
        <v>114991</v>
      </c>
      <c r="V84" s="81"/>
    </row>
    <row r="85" spans="1:22" s="5" customFormat="1" ht="12">
      <c r="A85" s="9">
        <v>199</v>
      </c>
      <c r="B85" s="7" t="s">
        <v>50</v>
      </c>
      <c r="C85" s="22">
        <v>600000</v>
      </c>
      <c r="D85" s="22">
        <f>+'[1]Asientos del Diario'!$E$1564</f>
        <v>320152</v>
      </c>
      <c r="E85" s="22">
        <f t="shared" si="6"/>
        <v>279848</v>
      </c>
      <c r="F85" s="21"/>
      <c r="G85" s="20"/>
      <c r="H85" s="19"/>
      <c r="I85" s="20">
        <f t="shared" si="4"/>
        <v>0</v>
      </c>
      <c r="J85" s="19"/>
      <c r="K85" s="43"/>
      <c r="L85" s="43"/>
      <c r="M85" s="44">
        <f t="shared" si="5"/>
        <v>0</v>
      </c>
      <c r="N85" s="42"/>
      <c r="O85" s="55" t="s">
        <v>116</v>
      </c>
      <c r="P85" s="55"/>
      <c r="Q85" s="56" t="s">
        <v>116</v>
      </c>
      <c r="R85" s="54"/>
      <c r="S85" s="82">
        <f>SUM(S86:S88)</f>
        <v>500000</v>
      </c>
      <c r="T85" s="82"/>
      <c r="U85" s="82">
        <f t="shared" si="7"/>
        <v>500000</v>
      </c>
      <c r="V85" s="81"/>
    </row>
    <row r="86" spans="1:22" s="5" customFormat="1" ht="12">
      <c r="A86" s="8">
        <v>19905</v>
      </c>
      <c r="B86" s="5" t="s">
        <v>51</v>
      </c>
      <c r="C86" s="22"/>
      <c r="D86" s="21"/>
      <c r="E86" s="22">
        <f t="shared" si="6"/>
        <v>0</v>
      </c>
      <c r="F86" s="21"/>
      <c r="G86" s="20">
        <v>500000</v>
      </c>
      <c r="H86" s="20">
        <f>+'[2]Asientos del Diario'!$E$1801</f>
        <v>105000</v>
      </c>
      <c r="I86" s="20">
        <f t="shared" si="4"/>
        <v>395000</v>
      </c>
      <c r="J86" s="19"/>
      <c r="K86" s="43">
        <v>500000</v>
      </c>
      <c r="L86" s="43">
        <v>150000</v>
      </c>
      <c r="M86" s="44">
        <f t="shared" si="5"/>
        <v>350000</v>
      </c>
      <c r="N86" s="42"/>
      <c r="O86" s="55">
        <v>500000</v>
      </c>
      <c r="P86" s="55">
        <v>150000</v>
      </c>
      <c r="Q86" s="56">
        <v>350000</v>
      </c>
      <c r="R86" s="54"/>
      <c r="S86" s="82">
        <v>500000</v>
      </c>
      <c r="T86" s="82">
        <f>+'[3]Asientos del Diario'!$E$1859</f>
        <v>150000</v>
      </c>
      <c r="U86" s="82">
        <f t="shared" si="7"/>
        <v>350000</v>
      </c>
      <c r="V86" s="81"/>
    </row>
    <row r="87" spans="1:22" s="5" customFormat="1" ht="12">
      <c r="A87" s="8">
        <v>19902</v>
      </c>
      <c r="B87" s="5" t="s">
        <v>137</v>
      </c>
      <c r="C87" s="22">
        <v>700000</v>
      </c>
      <c r="D87" s="22">
        <f>+'[1]Asientos del Diario'!$E$1580</f>
        <v>423891</v>
      </c>
      <c r="E87" s="22">
        <f t="shared" si="6"/>
        <v>276109</v>
      </c>
      <c r="F87" s="21"/>
      <c r="G87" s="20">
        <v>0</v>
      </c>
      <c r="H87" s="19"/>
      <c r="I87" s="20">
        <f t="shared" si="4"/>
        <v>0</v>
      </c>
      <c r="J87" s="19"/>
      <c r="K87" s="43">
        <v>0</v>
      </c>
      <c r="L87" s="43"/>
      <c r="M87" s="44">
        <f t="shared" si="5"/>
        <v>0</v>
      </c>
      <c r="N87" s="42"/>
      <c r="O87" s="55"/>
      <c r="P87" s="55"/>
      <c r="Q87" s="56">
        <v>0</v>
      </c>
      <c r="R87" s="54"/>
      <c r="S87" s="82"/>
      <c r="T87" s="81"/>
      <c r="U87" s="82">
        <f t="shared" si="7"/>
        <v>0</v>
      </c>
      <c r="V87" s="81"/>
    </row>
    <row r="88" spans="1:22" s="5" customFormat="1" ht="12">
      <c r="A88" s="8">
        <v>19999</v>
      </c>
      <c r="B88" s="5" t="s">
        <v>123</v>
      </c>
      <c r="C88" s="22">
        <v>0</v>
      </c>
      <c r="D88" s="21"/>
      <c r="E88" s="22">
        <f t="shared" si="6"/>
        <v>0</v>
      </c>
      <c r="F88" s="21"/>
      <c r="G88" s="20">
        <v>0</v>
      </c>
      <c r="H88" s="19"/>
      <c r="I88" s="20">
        <f t="shared" si="4"/>
        <v>0</v>
      </c>
      <c r="J88" s="19"/>
      <c r="K88" s="43">
        <v>0</v>
      </c>
      <c r="L88" s="43"/>
      <c r="M88" s="44">
        <f t="shared" si="5"/>
        <v>0</v>
      </c>
      <c r="N88" s="42"/>
      <c r="O88" s="55"/>
      <c r="P88" s="55"/>
      <c r="Q88" s="56">
        <v>0</v>
      </c>
      <c r="R88" s="54"/>
      <c r="S88" s="82"/>
      <c r="T88" s="81"/>
      <c r="U88" s="82">
        <f t="shared" si="7"/>
        <v>0</v>
      </c>
      <c r="V88" s="81"/>
    </row>
    <row r="89" spans="1:22" s="5" customFormat="1" ht="12">
      <c r="A89" s="8"/>
      <c r="C89" s="22">
        <v>280000</v>
      </c>
      <c r="D89" s="21"/>
      <c r="E89" s="22">
        <f t="shared" si="6"/>
        <v>280000</v>
      </c>
      <c r="F89" s="21"/>
      <c r="G89" s="19"/>
      <c r="H89" s="19"/>
      <c r="I89" s="20">
        <f t="shared" si="4"/>
        <v>0</v>
      </c>
      <c r="J89" s="19"/>
      <c r="K89" s="43"/>
      <c r="L89" s="43"/>
      <c r="M89" s="44">
        <f t="shared" si="5"/>
        <v>0</v>
      </c>
      <c r="N89" s="42"/>
      <c r="O89" s="55"/>
      <c r="P89" s="55"/>
      <c r="Q89" s="56">
        <v>0</v>
      </c>
      <c r="R89" s="54"/>
      <c r="S89" s="81"/>
      <c r="T89" s="81"/>
      <c r="U89" s="82">
        <f t="shared" si="7"/>
        <v>0</v>
      </c>
      <c r="V89" s="81"/>
    </row>
    <row r="90" spans="1:22" s="5" customFormat="1" ht="12">
      <c r="A90" s="8"/>
      <c r="C90" s="22"/>
      <c r="D90" s="21"/>
      <c r="E90" s="22"/>
      <c r="F90" s="21"/>
      <c r="G90" s="20"/>
      <c r="H90" s="19"/>
      <c r="I90" s="20">
        <f t="shared" si="4"/>
        <v>0</v>
      </c>
      <c r="J90" s="19"/>
      <c r="K90" s="43"/>
      <c r="L90" s="43"/>
      <c r="M90" s="44">
        <f t="shared" si="5"/>
        <v>0</v>
      </c>
      <c r="N90" s="42"/>
      <c r="O90" s="55"/>
      <c r="P90" s="55"/>
      <c r="Q90" s="56">
        <v>0</v>
      </c>
      <c r="R90" s="54"/>
      <c r="S90" s="82"/>
      <c r="T90" s="81"/>
      <c r="U90" s="82">
        <f t="shared" si="7"/>
        <v>0</v>
      </c>
      <c r="V90" s="81"/>
    </row>
    <row r="91" spans="1:22" s="5" customFormat="1" ht="12">
      <c r="A91" s="8"/>
      <c r="C91" s="22"/>
      <c r="D91" s="21"/>
      <c r="E91" s="22"/>
      <c r="F91" s="21"/>
      <c r="G91" s="20"/>
      <c r="H91" s="19"/>
      <c r="I91" s="20">
        <f t="shared" si="4"/>
        <v>0</v>
      </c>
      <c r="J91" s="19"/>
      <c r="K91" s="43"/>
      <c r="L91" s="43"/>
      <c r="M91" s="44">
        <f t="shared" si="5"/>
        <v>0</v>
      </c>
      <c r="N91" s="42"/>
      <c r="O91" s="55"/>
      <c r="P91" s="55"/>
      <c r="Q91" s="56">
        <v>0</v>
      </c>
      <c r="R91" s="54"/>
      <c r="S91" s="82"/>
      <c r="T91" s="81"/>
      <c r="U91" s="82">
        <f t="shared" si="7"/>
        <v>0</v>
      </c>
      <c r="V91" s="81"/>
    </row>
    <row r="92" spans="1:22" s="5" customFormat="1" ht="15.75">
      <c r="A92" s="3" t="s">
        <v>119</v>
      </c>
      <c r="B92" s="4" t="s">
        <v>52</v>
      </c>
      <c r="C92" s="32">
        <f>SUM(C94:C123)</f>
        <v>38675000</v>
      </c>
      <c r="D92" s="32">
        <f>SUM(D94:D123)</f>
        <v>36202073.51</v>
      </c>
      <c r="E92" s="32">
        <f>SUM(E94:E123)</f>
        <v>2472926.4899999993</v>
      </c>
      <c r="F92" s="31">
        <f>+D92/C92*100</f>
        <v>93.6058785003232</v>
      </c>
      <c r="G92" s="35">
        <f>SUM(G94:G123)</f>
        <v>42363037</v>
      </c>
      <c r="H92" s="35">
        <f>SUM(H94:H123)</f>
        <v>38771139.910000004</v>
      </c>
      <c r="I92" s="35">
        <f>SUM(I94:I123)</f>
        <v>3591897.0900000012</v>
      </c>
      <c r="J92" s="29">
        <f>+H92/G92*100</f>
        <v>91.5211530042098</v>
      </c>
      <c r="K92" s="45">
        <f>SUM(K94:K123)</f>
        <v>50555000</v>
      </c>
      <c r="L92" s="45">
        <f>SUM(L94:L123)</f>
        <v>47509157.870000005</v>
      </c>
      <c r="M92" s="45">
        <f>SUM(M94:M123)</f>
        <v>3045842.1299999985</v>
      </c>
      <c r="N92" s="41">
        <f>+L92/K92*100</f>
        <v>93.97519111858374</v>
      </c>
      <c r="O92" s="57">
        <f>SUM(O94:O123)</f>
        <v>52850000</v>
      </c>
      <c r="P92" s="57">
        <f>SUM(P94:P123)</f>
        <v>49806194.13</v>
      </c>
      <c r="Q92" s="57">
        <f>SUM(Q94:Q123)</f>
        <v>29793805.87</v>
      </c>
      <c r="R92" s="53">
        <f>+P92/O92*100</f>
        <v>94.24067006622518</v>
      </c>
      <c r="S92" s="84">
        <f>+S93+S100+S104+S112+S115</f>
        <v>45350000</v>
      </c>
      <c r="T92" s="84">
        <f>SUM(T94:T123)</f>
        <v>41176931.480000004</v>
      </c>
      <c r="U92" s="84">
        <f t="shared" si="7"/>
        <v>4173068.519999996</v>
      </c>
      <c r="V92" s="80">
        <f>+T92/S92*100</f>
        <v>90.79808485115767</v>
      </c>
    </row>
    <row r="93" spans="1:22" s="5" customFormat="1" ht="12">
      <c r="A93" s="9">
        <v>201</v>
      </c>
      <c r="B93" s="7" t="s">
        <v>53</v>
      </c>
      <c r="C93" s="22"/>
      <c r="D93" s="21"/>
      <c r="E93" s="22">
        <f aca="true" t="shared" si="8" ref="E93:E124">+C93-D93</f>
        <v>0</v>
      </c>
      <c r="F93" s="21"/>
      <c r="G93" s="20"/>
      <c r="H93" s="19"/>
      <c r="I93" s="20">
        <f t="shared" si="4"/>
        <v>0</v>
      </c>
      <c r="J93" s="19"/>
      <c r="K93" s="43"/>
      <c r="L93" s="43"/>
      <c r="M93" s="44">
        <f t="shared" si="5"/>
        <v>0</v>
      </c>
      <c r="N93" s="42"/>
      <c r="O93" s="55" t="s">
        <v>116</v>
      </c>
      <c r="P93" s="55"/>
      <c r="Q93" s="56">
        <v>0</v>
      </c>
      <c r="R93" s="54"/>
      <c r="S93" s="82">
        <f>SUM(S94:S97)</f>
        <v>21200000</v>
      </c>
      <c r="T93" s="81"/>
      <c r="U93" s="82">
        <f t="shared" si="7"/>
        <v>21200000</v>
      </c>
      <c r="V93" s="81"/>
    </row>
    <row r="94" spans="1:22" s="5" customFormat="1" ht="12">
      <c r="A94" s="8">
        <v>20101</v>
      </c>
      <c r="B94" s="5" t="s">
        <v>54</v>
      </c>
      <c r="C94" s="22">
        <f>11000000-3000000</f>
        <v>8000000</v>
      </c>
      <c r="D94" s="22">
        <f>+'[1]Asientos del Diario'!$E$1605</f>
        <v>7879993</v>
      </c>
      <c r="E94" s="22">
        <f t="shared" si="8"/>
        <v>120007</v>
      </c>
      <c r="F94" s="21"/>
      <c r="G94" s="20">
        <f>10500000-2000000+2000000</f>
        <v>10500000</v>
      </c>
      <c r="H94" s="20">
        <f>+'[2]Asientos del Diario'!$E$1826</f>
        <v>10433495</v>
      </c>
      <c r="I94" s="20">
        <f t="shared" si="4"/>
        <v>66505</v>
      </c>
      <c r="J94" s="19"/>
      <c r="K94" s="43">
        <v>12000000</v>
      </c>
      <c r="L94" s="43">
        <v>11955918</v>
      </c>
      <c r="M94" s="44">
        <f t="shared" si="5"/>
        <v>44082</v>
      </c>
      <c r="N94" s="42"/>
      <c r="O94" s="55">
        <v>12150000</v>
      </c>
      <c r="P94" s="55">
        <v>12138359.23</v>
      </c>
      <c r="Q94" s="56">
        <v>11640.769999999553</v>
      </c>
      <c r="R94" s="54"/>
      <c r="S94" s="82">
        <v>12000000</v>
      </c>
      <c r="T94" s="82">
        <f>+'[3]Asientos del Diario'!$E$1892</f>
        <v>11919558</v>
      </c>
      <c r="U94" s="82">
        <f t="shared" si="7"/>
        <v>80442</v>
      </c>
      <c r="V94" s="81"/>
    </row>
    <row r="95" spans="1:22" s="5" customFormat="1" ht="12">
      <c r="A95" s="8">
        <v>20102</v>
      </c>
      <c r="B95" s="5" t="s">
        <v>55</v>
      </c>
      <c r="C95" s="22">
        <v>2000000</v>
      </c>
      <c r="D95" s="22">
        <f>+'[1]Asientos del Diario'!$E$1624</f>
        <v>1858876</v>
      </c>
      <c r="E95" s="22">
        <f t="shared" si="8"/>
        <v>141124</v>
      </c>
      <c r="F95" s="21"/>
      <c r="G95" s="20">
        <v>1250000</v>
      </c>
      <c r="H95" s="20">
        <f>+'[2]Asientos del Diario'!$E$1845</f>
        <v>1182443.7</v>
      </c>
      <c r="I95" s="20">
        <f t="shared" si="4"/>
        <v>67556.30000000005</v>
      </c>
      <c r="J95" s="19"/>
      <c r="K95" s="43">
        <v>1500000</v>
      </c>
      <c r="L95" s="43">
        <v>1120519.7</v>
      </c>
      <c r="M95" s="44">
        <f t="shared" si="5"/>
        <v>379480.30000000005</v>
      </c>
      <c r="N95" s="42"/>
      <c r="O95" s="55">
        <v>2000000</v>
      </c>
      <c r="P95" s="55">
        <v>1724418.9900000002</v>
      </c>
      <c r="Q95" s="56">
        <v>275581.0099999998</v>
      </c>
      <c r="R95" s="54"/>
      <c r="S95" s="82">
        <v>1500000</v>
      </c>
      <c r="T95" s="82">
        <f>+'[3]Asientos del Diario'!$E$1911</f>
        <v>1485107.65</v>
      </c>
      <c r="U95" s="82">
        <f t="shared" si="7"/>
        <v>14892.350000000093</v>
      </c>
      <c r="V95" s="81"/>
    </row>
    <row r="96" spans="1:22" s="5" customFormat="1" ht="12">
      <c r="A96" s="8">
        <v>20104</v>
      </c>
      <c r="B96" s="5" t="s">
        <v>56</v>
      </c>
      <c r="C96" s="22">
        <f>9300000-2750000</f>
        <v>6550000</v>
      </c>
      <c r="D96" s="22">
        <f>+'[1]Asientos del Diario'!$E$1671</f>
        <v>6431529.8</v>
      </c>
      <c r="E96" s="22">
        <f t="shared" si="8"/>
        <v>118470.20000000019</v>
      </c>
      <c r="F96" s="21"/>
      <c r="G96" s="20">
        <f>5000000+2000000</f>
        <v>7000000</v>
      </c>
      <c r="H96" s="20">
        <f>+'[2]Asientos del Diario'!$E$1892</f>
        <v>6982579.819999999</v>
      </c>
      <c r="I96" s="20">
        <f t="shared" si="4"/>
        <v>17420.180000000633</v>
      </c>
      <c r="J96" s="19"/>
      <c r="K96" s="43">
        <v>10000000</v>
      </c>
      <c r="L96" s="43">
        <v>9824626.020000001</v>
      </c>
      <c r="M96" s="44">
        <f t="shared" si="5"/>
        <v>175373.97999999858</v>
      </c>
      <c r="N96" s="42"/>
      <c r="O96" s="55">
        <v>10000000</v>
      </c>
      <c r="P96" s="55">
        <v>9470199.64</v>
      </c>
      <c r="Q96" s="56">
        <v>529800.3599999994</v>
      </c>
      <c r="R96" s="54"/>
      <c r="S96" s="82">
        <f>10000000-2500000</f>
        <v>7500000</v>
      </c>
      <c r="T96" s="82">
        <f>+'[3]Asientos del Diario'!$E$1956</f>
        <v>7226157.639999999</v>
      </c>
      <c r="U96" s="84">
        <f t="shared" si="7"/>
        <v>273842.36000000127</v>
      </c>
      <c r="V96" s="81"/>
    </row>
    <row r="97" spans="1:22" s="5" customFormat="1" ht="12">
      <c r="A97" s="8">
        <v>20199</v>
      </c>
      <c r="B97" s="5" t="s">
        <v>57</v>
      </c>
      <c r="C97" s="22">
        <v>345000</v>
      </c>
      <c r="D97" s="22">
        <f>+'[1]Asientos del Diario'!$E$1686</f>
        <v>342999.2</v>
      </c>
      <c r="E97" s="22">
        <f t="shared" si="8"/>
        <v>2000.7999999999884</v>
      </c>
      <c r="F97" s="21"/>
      <c r="G97" s="20">
        <f>150000+90000</f>
        <v>240000</v>
      </c>
      <c r="H97" s="20">
        <f>+'[2]Asientos del Diario'!$E$1907</f>
        <v>228595.05</v>
      </c>
      <c r="I97" s="20">
        <f t="shared" si="4"/>
        <v>11404.950000000012</v>
      </c>
      <c r="J97" s="19"/>
      <c r="K97" s="43">
        <v>200000</v>
      </c>
      <c r="L97" s="43">
        <v>199640</v>
      </c>
      <c r="M97" s="44">
        <f t="shared" si="5"/>
        <v>360</v>
      </c>
      <c r="N97" s="42"/>
      <c r="O97" s="55">
        <v>200000</v>
      </c>
      <c r="P97" s="55">
        <v>95839.99</v>
      </c>
      <c r="Q97" s="56">
        <v>104160.01</v>
      </c>
      <c r="R97" s="54"/>
      <c r="S97" s="82">
        <f>200000-100000+100000</f>
        <v>200000</v>
      </c>
      <c r="T97" s="82">
        <f>+'[3]Asientos del Diario'!$E$1971</f>
        <v>186090</v>
      </c>
      <c r="U97" s="82">
        <f t="shared" si="7"/>
        <v>13910</v>
      </c>
      <c r="V97" s="81"/>
    </row>
    <row r="98" spans="1:22" s="5" customFormat="1" ht="12">
      <c r="A98" s="8"/>
      <c r="C98" s="22"/>
      <c r="D98" s="21"/>
      <c r="E98" s="22" t="s">
        <v>116</v>
      </c>
      <c r="F98" s="21"/>
      <c r="G98" s="20"/>
      <c r="H98" s="19"/>
      <c r="I98" s="20" t="s">
        <v>116</v>
      </c>
      <c r="J98" s="19"/>
      <c r="K98" s="43"/>
      <c r="L98" s="43"/>
      <c r="M98" s="44">
        <f t="shared" si="5"/>
        <v>0</v>
      </c>
      <c r="N98" s="42"/>
      <c r="O98" s="55"/>
      <c r="P98" s="55"/>
      <c r="Q98" s="56">
        <v>0</v>
      </c>
      <c r="R98" s="54"/>
      <c r="S98" s="82"/>
      <c r="T98" s="81"/>
      <c r="U98" s="82">
        <f t="shared" si="7"/>
        <v>0</v>
      </c>
      <c r="V98" s="81"/>
    </row>
    <row r="99" spans="1:22" s="5" customFormat="1" ht="12">
      <c r="A99" s="8"/>
      <c r="C99" s="22"/>
      <c r="D99" s="21"/>
      <c r="E99" s="22" t="s">
        <v>116</v>
      </c>
      <c r="F99" s="21"/>
      <c r="G99" s="20"/>
      <c r="H99" s="19"/>
      <c r="I99" s="20" t="s">
        <v>116</v>
      </c>
      <c r="J99" s="19"/>
      <c r="K99" s="43"/>
      <c r="L99" s="43"/>
      <c r="M99" s="44">
        <f t="shared" si="5"/>
        <v>0</v>
      </c>
      <c r="N99" s="42"/>
      <c r="O99" s="55"/>
      <c r="P99" s="55"/>
      <c r="Q99" s="56">
        <v>0</v>
      </c>
      <c r="R99" s="54"/>
      <c r="S99" s="82"/>
      <c r="T99" s="81"/>
      <c r="U99" s="82">
        <f t="shared" si="7"/>
        <v>0</v>
      </c>
      <c r="V99" s="81"/>
    </row>
    <row r="100" spans="1:22" s="5" customFormat="1" ht="12">
      <c r="A100" s="9">
        <v>202</v>
      </c>
      <c r="B100" s="7" t="s">
        <v>58</v>
      </c>
      <c r="C100" s="22"/>
      <c r="D100" s="21"/>
      <c r="E100" s="22" t="s">
        <v>116</v>
      </c>
      <c r="F100" s="21"/>
      <c r="G100" s="20"/>
      <c r="H100" s="19"/>
      <c r="I100" s="20" t="s">
        <v>116</v>
      </c>
      <c r="J100" s="19"/>
      <c r="K100" s="43"/>
      <c r="L100" s="43"/>
      <c r="M100" s="44">
        <f t="shared" si="5"/>
        <v>0</v>
      </c>
      <c r="N100" s="42"/>
      <c r="O100" s="55" t="s">
        <v>116</v>
      </c>
      <c r="P100" s="55"/>
      <c r="Q100" s="56">
        <v>0</v>
      </c>
      <c r="R100" s="54"/>
      <c r="S100" s="82">
        <f>SUM(S101:S103)</f>
        <v>2000000</v>
      </c>
      <c r="T100" s="81"/>
      <c r="U100" s="82">
        <f t="shared" si="7"/>
        <v>2000000</v>
      </c>
      <c r="V100" s="81"/>
    </row>
    <row r="101" spans="1:22" s="5" customFormat="1" ht="12">
      <c r="A101" s="8">
        <v>20201</v>
      </c>
      <c r="B101" s="5" t="s">
        <v>59</v>
      </c>
      <c r="C101" s="22" t="s">
        <v>116</v>
      </c>
      <c r="D101" s="21"/>
      <c r="E101" s="22" t="s">
        <v>116</v>
      </c>
      <c r="F101" s="21"/>
      <c r="G101" s="20" t="s">
        <v>116</v>
      </c>
      <c r="H101" s="19"/>
      <c r="I101" s="20" t="s">
        <v>116</v>
      </c>
      <c r="J101" s="19"/>
      <c r="K101" s="43">
        <v>0</v>
      </c>
      <c r="L101" s="43"/>
      <c r="M101" s="44">
        <f t="shared" si="5"/>
        <v>0</v>
      </c>
      <c r="N101" s="42"/>
      <c r="O101" s="55">
        <v>0</v>
      </c>
      <c r="P101" s="55"/>
      <c r="Q101" s="56">
        <v>0</v>
      </c>
      <c r="R101" s="54"/>
      <c r="S101" s="82"/>
      <c r="T101" s="81"/>
      <c r="U101" s="82">
        <f t="shared" si="7"/>
        <v>0</v>
      </c>
      <c r="V101" s="81"/>
    </row>
    <row r="102" spans="1:22" s="5" customFormat="1" ht="12">
      <c r="A102" s="8">
        <v>20202</v>
      </c>
      <c r="B102" s="5" t="s">
        <v>150</v>
      </c>
      <c r="C102" s="22">
        <v>100000</v>
      </c>
      <c r="D102" s="22">
        <f>+'[1]Asientos del Diario'!$E$1692</f>
        <v>99500</v>
      </c>
      <c r="E102" s="22">
        <f t="shared" si="8"/>
        <v>500</v>
      </c>
      <c r="F102" s="21"/>
      <c r="G102" s="20">
        <v>100000</v>
      </c>
      <c r="H102" s="20">
        <f>+'[2]Asientos del Diario'!$E$1913</f>
        <v>99800</v>
      </c>
      <c r="I102" s="20">
        <f t="shared" si="4"/>
        <v>200</v>
      </c>
      <c r="J102" s="19"/>
      <c r="K102" s="43">
        <v>0</v>
      </c>
      <c r="L102" s="43"/>
      <c r="M102" s="44">
        <f t="shared" si="5"/>
        <v>0</v>
      </c>
      <c r="N102" s="42"/>
      <c r="O102" s="55">
        <v>50000</v>
      </c>
      <c r="P102" s="55">
        <v>16500</v>
      </c>
      <c r="Q102" s="56">
        <v>33500</v>
      </c>
      <c r="R102" s="54"/>
      <c r="S102" s="82">
        <v>100000</v>
      </c>
      <c r="T102" s="82"/>
      <c r="U102" s="82">
        <f t="shared" si="7"/>
        <v>100000</v>
      </c>
      <c r="V102" s="81"/>
    </row>
    <row r="103" spans="1:22" s="5" customFormat="1" ht="12">
      <c r="A103" s="8">
        <v>20203</v>
      </c>
      <c r="B103" s="5" t="s">
        <v>60</v>
      </c>
      <c r="C103" s="22">
        <f>1700000-500000</f>
        <v>1200000</v>
      </c>
      <c r="D103" s="22">
        <f>+'[1]Asientos del Diario'!$E$1717</f>
        <v>1141537.56</v>
      </c>
      <c r="E103" s="22">
        <f t="shared" si="8"/>
        <v>58462.439999999944</v>
      </c>
      <c r="F103" s="21"/>
      <c r="G103" s="20">
        <v>1000000</v>
      </c>
      <c r="H103" s="20">
        <f>+'[2]Asientos del Diario'!$E$1941</f>
        <v>855066</v>
      </c>
      <c r="I103" s="20">
        <f t="shared" si="4"/>
        <v>144934</v>
      </c>
      <c r="J103" s="19"/>
      <c r="K103" s="43">
        <v>2000000</v>
      </c>
      <c r="L103" s="43">
        <v>1958724.8</v>
      </c>
      <c r="M103" s="44">
        <f t="shared" si="5"/>
        <v>41275.19999999995</v>
      </c>
      <c r="N103" s="42"/>
      <c r="O103" s="55">
        <v>1700000</v>
      </c>
      <c r="P103" s="55">
        <v>1561345.83</v>
      </c>
      <c r="Q103" s="56">
        <v>138654.16999999993</v>
      </c>
      <c r="R103" s="54"/>
      <c r="S103" s="82">
        <f>1700000+200000</f>
        <v>1900000</v>
      </c>
      <c r="T103" s="82">
        <f>+'[3]Asientos del Diario'!$E$2006</f>
        <v>1748341</v>
      </c>
      <c r="U103" s="82">
        <f t="shared" si="7"/>
        <v>151659</v>
      </c>
      <c r="V103" s="81"/>
    </row>
    <row r="104" spans="1:22" s="5" customFormat="1" ht="12">
      <c r="A104" s="9">
        <v>203</v>
      </c>
      <c r="B104" s="7" t="s">
        <v>101</v>
      </c>
      <c r="C104" s="22"/>
      <c r="D104" s="21"/>
      <c r="E104" s="22">
        <f t="shared" si="8"/>
        <v>0</v>
      </c>
      <c r="F104" s="21"/>
      <c r="G104" s="20"/>
      <c r="H104" s="19"/>
      <c r="I104" s="20">
        <f t="shared" si="4"/>
        <v>0</v>
      </c>
      <c r="J104" s="19"/>
      <c r="K104" s="43"/>
      <c r="L104" s="43"/>
      <c r="M104" s="44">
        <f t="shared" si="5"/>
        <v>0</v>
      </c>
      <c r="N104" s="42"/>
      <c r="O104" s="55" t="s">
        <v>116</v>
      </c>
      <c r="P104" s="55"/>
      <c r="Q104" s="56">
        <v>9500000</v>
      </c>
      <c r="R104" s="54"/>
      <c r="S104" s="82">
        <f>SUM(S105:S111)</f>
        <v>2300000</v>
      </c>
      <c r="T104" s="81"/>
      <c r="U104" s="82">
        <f t="shared" si="7"/>
        <v>2300000</v>
      </c>
      <c r="V104" s="81"/>
    </row>
    <row r="105" spans="1:22" s="5" customFormat="1" ht="12">
      <c r="A105" s="8">
        <v>20301</v>
      </c>
      <c r="B105" s="5" t="s">
        <v>61</v>
      </c>
      <c r="C105" s="22">
        <v>1000000</v>
      </c>
      <c r="D105" s="22">
        <f>+'[1]Asientos del Diario'!$E$1742</f>
        <v>597090.6</v>
      </c>
      <c r="E105" s="22">
        <f t="shared" si="8"/>
        <v>402909.4</v>
      </c>
      <c r="F105" s="21"/>
      <c r="G105" s="20">
        <v>300000</v>
      </c>
      <c r="H105" s="20">
        <f>+'[2]Asientos del Diario'!$E$1966</f>
        <v>269927.86</v>
      </c>
      <c r="I105" s="20">
        <f t="shared" si="4"/>
        <v>30072.140000000014</v>
      </c>
      <c r="J105" s="19"/>
      <c r="K105" s="43">
        <v>200000</v>
      </c>
      <c r="L105" s="43">
        <v>198409.56</v>
      </c>
      <c r="M105" s="44">
        <f t="shared" si="5"/>
        <v>1590.4400000000023</v>
      </c>
      <c r="N105" s="42"/>
      <c r="O105" s="55">
        <v>300000</v>
      </c>
      <c r="P105" s="55">
        <v>275092.7</v>
      </c>
      <c r="Q105" s="56">
        <v>24907.29999999999</v>
      </c>
      <c r="R105" s="54"/>
      <c r="S105" s="82">
        <v>200000</v>
      </c>
      <c r="T105" s="82">
        <f>+'[3]Asientos del Diario'!$E$2031</f>
        <v>196038.13999999998</v>
      </c>
      <c r="U105" s="82">
        <f t="shared" si="7"/>
        <v>3961.860000000015</v>
      </c>
      <c r="V105" s="81"/>
    </row>
    <row r="106" spans="1:22" s="5" customFormat="1" ht="12">
      <c r="A106" s="8">
        <v>20302</v>
      </c>
      <c r="B106" s="5" t="s">
        <v>100</v>
      </c>
      <c r="C106" s="22">
        <v>200000</v>
      </c>
      <c r="D106" s="22">
        <f>+'[1]Asientos del Diario'!$E$1757</f>
        <v>76946.2</v>
      </c>
      <c r="E106" s="22">
        <f t="shared" si="8"/>
        <v>123053.8</v>
      </c>
      <c r="F106" s="21"/>
      <c r="G106" s="20">
        <v>200000</v>
      </c>
      <c r="H106" s="20">
        <f>+'[2]Asientos del Diario'!$E$1981</f>
        <v>61700</v>
      </c>
      <c r="I106" s="20">
        <f t="shared" si="4"/>
        <v>138300</v>
      </c>
      <c r="J106" s="19"/>
      <c r="K106" s="43">
        <v>200000</v>
      </c>
      <c r="L106" s="43">
        <v>146612.45</v>
      </c>
      <c r="M106" s="44">
        <f t="shared" si="5"/>
        <v>53387.54999999999</v>
      </c>
      <c r="N106" s="42"/>
      <c r="O106" s="55">
        <v>200000</v>
      </c>
      <c r="P106" s="55">
        <v>119200</v>
      </c>
      <c r="Q106" s="56">
        <v>80800</v>
      </c>
      <c r="R106" s="54"/>
      <c r="S106" s="82">
        <f>200000-100000</f>
        <v>100000</v>
      </c>
      <c r="T106" s="82">
        <f>+'[3]Asientos del Diario'!$E$2046</f>
        <v>82270</v>
      </c>
      <c r="U106" s="82">
        <f t="shared" si="7"/>
        <v>17730</v>
      </c>
      <c r="V106" s="81"/>
    </row>
    <row r="107" spans="1:22" s="5" customFormat="1" ht="12">
      <c r="A107" s="8">
        <v>20303</v>
      </c>
      <c r="B107" s="5" t="s">
        <v>62</v>
      </c>
      <c r="C107" s="22">
        <v>200000</v>
      </c>
      <c r="D107" s="22">
        <f>+'[1]Asientos del Diario'!$E$1769</f>
        <v>178219</v>
      </c>
      <c r="E107" s="22">
        <f t="shared" si="8"/>
        <v>21781</v>
      </c>
      <c r="F107" s="21"/>
      <c r="G107" s="20">
        <v>50000</v>
      </c>
      <c r="H107" s="20">
        <f>+'[2]Asientos del Diario'!$E$1993</f>
        <v>0</v>
      </c>
      <c r="I107" s="20">
        <f t="shared" si="4"/>
        <v>50000</v>
      </c>
      <c r="J107" s="19"/>
      <c r="K107" s="43">
        <v>150000</v>
      </c>
      <c r="L107" s="43">
        <v>23300</v>
      </c>
      <c r="M107" s="44">
        <f t="shared" si="5"/>
        <v>126700</v>
      </c>
      <c r="N107" s="42"/>
      <c r="O107" s="55">
        <v>150000</v>
      </c>
      <c r="P107" s="55"/>
      <c r="Q107" s="56">
        <v>150000</v>
      </c>
      <c r="R107" s="54"/>
      <c r="S107" s="82">
        <v>150000</v>
      </c>
      <c r="T107" s="82">
        <f>+'[3]Asientos del Diario'!$E$2058</f>
        <v>85641.35</v>
      </c>
      <c r="U107" s="82">
        <f t="shared" si="7"/>
        <v>64358.649999999994</v>
      </c>
      <c r="V107" s="81"/>
    </row>
    <row r="108" spans="1:22" s="5" customFormat="1" ht="12">
      <c r="A108" s="8">
        <v>20304</v>
      </c>
      <c r="B108" s="5" t="s">
        <v>99</v>
      </c>
      <c r="C108" s="22">
        <v>3000000</v>
      </c>
      <c r="D108" s="22">
        <f>+'[1]Asientos del Diario'!$E$1807</f>
        <v>2931949.21</v>
      </c>
      <c r="E108" s="22">
        <f t="shared" si="8"/>
        <v>68050.79000000004</v>
      </c>
      <c r="F108" s="21"/>
      <c r="G108" s="20">
        <f>3500000-1000000</f>
        <v>2500000</v>
      </c>
      <c r="H108" s="20">
        <f>+'[2]Asientos del Diario'!$E$2031</f>
        <v>2122385.4</v>
      </c>
      <c r="I108" s="20">
        <f t="shared" si="4"/>
        <v>377614.6000000001</v>
      </c>
      <c r="J108" s="19"/>
      <c r="K108" s="43">
        <v>4200000</v>
      </c>
      <c r="L108" s="43">
        <v>4107496.0900000003</v>
      </c>
      <c r="M108" s="44">
        <f t="shared" si="5"/>
        <v>92503.90999999968</v>
      </c>
      <c r="N108" s="42"/>
      <c r="O108" s="55">
        <v>8000000</v>
      </c>
      <c r="P108" s="55">
        <v>7782170.930000001</v>
      </c>
      <c r="Q108" s="56">
        <v>217829.06999999937</v>
      </c>
      <c r="R108" s="54"/>
      <c r="S108" s="82">
        <v>1000000</v>
      </c>
      <c r="T108" s="82">
        <f>+'[3]Asientos del Diario'!$E$2096</f>
        <v>821418.26</v>
      </c>
      <c r="U108" s="82">
        <f t="shared" si="7"/>
        <v>178581.74</v>
      </c>
      <c r="V108" s="81"/>
    </row>
    <row r="109" spans="1:22" s="5" customFormat="1" ht="12">
      <c r="A109" s="8">
        <v>20305</v>
      </c>
      <c r="B109" s="5" t="s">
        <v>63</v>
      </c>
      <c r="C109" s="22">
        <v>160000</v>
      </c>
      <c r="D109" s="22">
        <f>+'[1]Asientos del Diario'!$E$1817</f>
        <v>142000</v>
      </c>
      <c r="E109" s="22">
        <f t="shared" si="8"/>
        <v>18000</v>
      </c>
      <c r="F109" s="21"/>
      <c r="G109" s="20">
        <v>50000</v>
      </c>
      <c r="H109" s="20">
        <f>+'[2]Asientos del Diario'!$E$2041</f>
        <v>15441.82</v>
      </c>
      <c r="I109" s="20">
        <f t="shared" si="4"/>
        <v>34558.18</v>
      </c>
      <c r="J109" s="19"/>
      <c r="K109" s="43">
        <v>50000</v>
      </c>
      <c r="L109" s="43">
        <v>0</v>
      </c>
      <c r="M109" s="44">
        <f t="shared" si="5"/>
        <v>50000</v>
      </c>
      <c r="N109" s="42"/>
      <c r="O109" s="55">
        <v>50000</v>
      </c>
      <c r="P109" s="55"/>
      <c r="Q109" s="56">
        <v>50000</v>
      </c>
      <c r="R109" s="54"/>
      <c r="S109" s="82">
        <v>50000</v>
      </c>
      <c r="T109" s="82"/>
      <c r="U109" s="82">
        <f t="shared" si="7"/>
        <v>50000</v>
      </c>
      <c r="V109" s="81"/>
    </row>
    <row r="110" spans="1:22" s="5" customFormat="1" ht="12">
      <c r="A110" s="8">
        <v>20306</v>
      </c>
      <c r="B110" s="5" t="s">
        <v>64</v>
      </c>
      <c r="C110" s="22">
        <f>500000+100000</f>
        <v>600000</v>
      </c>
      <c r="D110" s="22">
        <f>+'[1]Asientos del Diario'!$E$1831</f>
        <v>550777.76</v>
      </c>
      <c r="E110" s="22">
        <f t="shared" si="8"/>
        <v>49222.23999999999</v>
      </c>
      <c r="F110" s="21"/>
      <c r="G110" s="20">
        <v>800000</v>
      </c>
      <c r="H110" s="20">
        <f>+'[2]Asientos del Diario'!$E$2057</f>
        <v>754838</v>
      </c>
      <c r="I110" s="20">
        <f t="shared" si="4"/>
        <v>45162</v>
      </c>
      <c r="J110" s="19"/>
      <c r="K110" s="43">
        <v>700000</v>
      </c>
      <c r="L110" s="43">
        <v>203450</v>
      </c>
      <c r="M110" s="44">
        <f t="shared" si="5"/>
        <v>496550</v>
      </c>
      <c r="N110" s="42"/>
      <c r="O110" s="55">
        <v>200000</v>
      </c>
      <c r="P110" s="55">
        <v>176852</v>
      </c>
      <c r="Q110" s="56">
        <v>23148</v>
      </c>
      <c r="R110" s="54"/>
      <c r="S110" s="82">
        <f>700000-200000+100000</f>
        <v>600000</v>
      </c>
      <c r="T110" s="82">
        <f>+'[3]Asientos del Diario'!$E$2122</f>
        <v>290151.69999999995</v>
      </c>
      <c r="U110" s="82">
        <f t="shared" si="7"/>
        <v>309848.30000000005</v>
      </c>
      <c r="V110" s="81"/>
    </row>
    <row r="111" spans="1:22" s="5" customFormat="1" ht="12">
      <c r="A111" s="8">
        <v>20399</v>
      </c>
      <c r="B111" s="5" t="s">
        <v>98</v>
      </c>
      <c r="C111" s="22">
        <v>600000</v>
      </c>
      <c r="D111" s="22">
        <f>+'[1]Asientos del Diario'!$E$1843</f>
        <v>587955.96</v>
      </c>
      <c r="E111" s="22">
        <f t="shared" si="8"/>
        <v>12044.040000000037</v>
      </c>
      <c r="F111" s="21"/>
      <c r="G111" s="20">
        <f>300000-76963</f>
        <v>223037</v>
      </c>
      <c r="H111" s="20">
        <f>+'[2]Asientos del Diario'!$E$2071</f>
        <v>175625</v>
      </c>
      <c r="I111" s="20">
        <f t="shared" si="4"/>
        <v>47412</v>
      </c>
      <c r="J111" s="19"/>
      <c r="K111" s="43">
        <v>600000</v>
      </c>
      <c r="L111" s="43">
        <v>505140</v>
      </c>
      <c r="M111" s="44">
        <f t="shared" si="5"/>
        <v>94860</v>
      </c>
      <c r="N111" s="42"/>
      <c r="O111" s="55">
        <v>600000</v>
      </c>
      <c r="P111" s="55">
        <v>599499.48</v>
      </c>
      <c r="Q111" s="56">
        <v>500.5200000000186</v>
      </c>
      <c r="R111" s="54"/>
      <c r="S111" s="82">
        <f>600000-400000</f>
        <v>200000</v>
      </c>
      <c r="T111" s="82">
        <f>+'[3]Asientos del Diario'!$E$2137</f>
        <v>89509.5</v>
      </c>
      <c r="U111" s="82">
        <f t="shared" si="7"/>
        <v>110490.5</v>
      </c>
      <c r="V111" s="81"/>
    </row>
    <row r="112" spans="1:22" s="5" customFormat="1" ht="12">
      <c r="A112" s="9">
        <v>204</v>
      </c>
      <c r="B112" s="7" t="s">
        <v>65</v>
      </c>
      <c r="C112" s="22"/>
      <c r="D112" s="21"/>
      <c r="E112" s="22" t="s">
        <v>116</v>
      </c>
      <c r="F112" s="21"/>
      <c r="G112" s="20"/>
      <c r="H112" s="19"/>
      <c r="I112" s="20" t="s">
        <v>116</v>
      </c>
      <c r="J112" s="19"/>
      <c r="K112" s="43"/>
      <c r="L112" s="43"/>
      <c r="M112" s="44">
        <f t="shared" si="5"/>
        <v>0</v>
      </c>
      <c r="N112" s="42"/>
      <c r="O112" s="55" t="s">
        <v>116</v>
      </c>
      <c r="P112" s="55"/>
      <c r="Q112" s="56">
        <v>3500000</v>
      </c>
      <c r="R112" s="54"/>
      <c r="S112" s="82">
        <f>SUM(S113:S114)</f>
        <v>6000000</v>
      </c>
      <c r="T112" s="81"/>
      <c r="U112" s="82">
        <f t="shared" si="7"/>
        <v>6000000</v>
      </c>
      <c r="V112" s="81"/>
    </row>
    <row r="113" spans="1:22" s="5" customFormat="1" ht="12">
      <c r="A113" s="8">
        <v>20401</v>
      </c>
      <c r="B113" s="5" t="s">
        <v>66</v>
      </c>
      <c r="C113" s="22">
        <v>1000000</v>
      </c>
      <c r="D113" s="22">
        <f>+'[1]Asientos del Diario'!$E$1865</f>
        <v>961590.07</v>
      </c>
      <c r="E113" s="22">
        <f t="shared" si="8"/>
        <v>38409.93000000005</v>
      </c>
      <c r="F113" s="21"/>
      <c r="G113" s="20">
        <v>1000000</v>
      </c>
      <c r="H113" s="20">
        <f>+'[2]Asientos del Diario'!$E$2093</f>
        <v>728962.02</v>
      </c>
      <c r="I113" s="20">
        <f t="shared" si="4"/>
        <v>271037.98</v>
      </c>
      <c r="J113" s="19"/>
      <c r="K113" s="43">
        <v>1650000</v>
      </c>
      <c r="L113" s="43">
        <v>1554447</v>
      </c>
      <c r="M113" s="44">
        <f t="shared" si="5"/>
        <v>95553</v>
      </c>
      <c r="N113" s="42"/>
      <c r="O113" s="55">
        <v>1500000</v>
      </c>
      <c r="P113" s="55">
        <v>1264852.1199999999</v>
      </c>
      <c r="Q113" s="56">
        <v>235147.88000000012</v>
      </c>
      <c r="R113" s="54"/>
      <c r="S113" s="82">
        <v>1500000</v>
      </c>
      <c r="T113" s="82">
        <f>+'[3]Asientos del Diario'!$E$2159</f>
        <v>1005398</v>
      </c>
      <c r="U113" s="82">
        <f t="shared" si="7"/>
        <v>494602</v>
      </c>
      <c r="V113" s="81"/>
    </row>
    <row r="114" spans="1:22" s="5" customFormat="1" ht="12">
      <c r="A114" s="8">
        <v>20402</v>
      </c>
      <c r="B114" s="5" t="s">
        <v>67</v>
      </c>
      <c r="C114" s="22">
        <f>3000000-500000</f>
        <v>2500000</v>
      </c>
      <c r="D114" s="22">
        <f>+'[1]Asientos del Diario'!$E$1901</f>
        <v>2145457.42</v>
      </c>
      <c r="E114" s="22">
        <f t="shared" si="8"/>
        <v>354542.5800000001</v>
      </c>
      <c r="F114" s="21"/>
      <c r="G114" s="20">
        <f>3000000-500000</f>
        <v>2500000</v>
      </c>
      <c r="H114" s="20">
        <f>+'[2]Asientos del Diario'!$E$2129</f>
        <v>2314889.46</v>
      </c>
      <c r="I114" s="20">
        <f t="shared" si="4"/>
        <v>185110.54000000004</v>
      </c>
      <c r="J114" s="19"/>
      <c r="K114" s="43">
        <v>2000000</v>
      </c>
      <c r="L114" s="43">
        <v>1905901.43</v>
      </c>
      <c r="M114" s="44">
        <f t="shared" si="5"/>
        <v>94098.57000000007</v>
      </c>
      <c r="N114" s="42"/>
      <c r="O114" s="55">
        <v>2000000</v>
      </c>
      <c r="P114" s="55">
        <v>1864835.02</v>
      </c>
      <c r="Q114" s="56">
        <v>135164.97999999998</v>
      </c>
      <c r="R114" s="54"/>
      <c r="S114" s="82">
        <f>2000000+2500000</f>
        <v>4500000</v>
      </c>
      <c r="T114" s="82">
        <f>+'[3]Asientos del Diario'!$E$2195</f>
        <v>3963583.6799999997</v>
      </c>
      <c r="U114" s="82">
        <f t="shared" si="7"/>
        <v>536416.3200000003</v>
      </c>
      <c r="V114" s="81"/>
    </row>
    <row r="115" spans="1:22" s="5" customFormat="1" ht="12">
      <c r="A115" s="9">
        <v>299</v>
      </c>
      <c r="B115" s="7" t="s">
        <v>68</v>
      </c>
      <c r="C115" s="22"/>
      <c r="D115" s="21"/>
      <c r="E115" s="22">
        <f t="shared" si="8"/>
        <v>0</v>
      </c>
      <c r="F115" s="21"/>
      <c r="G115" s="20"/>
      <c r="H115" s="19"/>
      <c r="I115" s="20" t="s">
        <v>116</v>
      </c>
      <c r="J115" s="19"/>
      <c r="K115" s="43"/>
      <c r="L115" s="43"/>
      <c r="M115" s="44">
        <f t="shared" si="5"/>
        <v>0</v>
      </c>
      <c r="N115" s="42"/>
      <c r="O115" s="55" t="s">
        <v>116</v>
      </c>
      <c r="P115" s="55"/>
      <c r="Q115" s="56">
        <v>13750000</v>
      </c>
      <c r="R115" s="54"/>
      <c r="S115" s="82">
        <f>SUM(S116:S123)</f>
        <v>13850000</v>
      </c>
      <c r="T115" s="81"/>
      <c r="U115" s="82">
        <f t="shared" si="7"/>
        <v>13850000</v>
      </c>
      <c r="V115" s="81"/>
    </row>
    <row r="116" spans="1:22" s="5" customFormat="1" ht="12">
      <c r="A116" s="8">
        <v>29901</v>
      </c>
      <c r="B116" s="5" t="s">
        <v>69</v>
      </c>
      <c r="C116" s="22">
        <f>2000000-280000-300000</f>
        <v>1420000</v>
      </c>
      <c r="D116" s="22">
        <f>+'[1]Asientos del Diario'!$E$1955</f>
        <v>1363444.2</v>
      </c>
      <c r="E116" s="22">
        <f t="shared" si="8"/>
        <v>56555.80000000005</v>
      </c>
      <c r="F116" s="21"/>
      <c r="G116" s="20">
        <f>1300000+4500000-3800000</f>
        <v>2000000</v>
      </c>
      <c r="H116" s="20">
        <f>+'[2]Asientos del Diario'!$E$2183</f>
        <v>1754853.54</v>
      </c>
      <c r="I116" s="20">
        <f t="shared" si="4"/>
        <v>245146.45999999996</v>
      </c>
      <c r="J116" s="19"/>
      <c r="K116" s="43">
        <v>2000000</v>
      </c>
      <c r="L116" s="43">
        <v>1945351.99</v>
      </c>
      <c r="M116" s="44">
        <f t="shared" si="5"/>
        <v>54648.01000000001</v>
      </c>
      <c r="N116" s="42"/>
      <c r="O116" s="55">
        <v>2000000</v>
      </c>
      <c r="P116" s="55">
        <v>1631943.27</v>
      </c>
      <c r="Q116" s="56">
        <v>368056.73</v>
      </c>
      <c r="R116" s="54"/>
      <c r="S116" s="82">
        <v>2000000</v>
      </c>
      <c r="T116" s="82">
        <f>+'[3]Asientos del Diario'!$E$2249</f>
        <v>1794730.4099999997</v>
      </c>
      <c r="U116" s="82">
        <f t="shared" si="7"/>
        <v>205269.59000000032</v>
      </c>
      <c r="V116" s="81"/>
    </row>
    <row r="117" spans="1:22" s="5" customFormat="1" ht="12">
      <c r="A117" s="8">
        <v>29902</v>
      </c>
      <c r="B117" s="5" t="s">
        <v>97</v>
      </c>
      <c r="C117" s="22">
        <v>500000</v>
      </c>
      <c r="D117" s="22">
        <f>+'[1]Asientos del Diario'!$E$1965</f>
        <v>160050</v>
      </c>
      <c r="E117" s="22">
        <f t="shared" si="8"/>
        <v>339950</v>
      </c>
      <c r="F117" s="21"/>
      <c r="G117" s="20">
        <v>500000</v>
      </c>
      <c r="H117" s="20">
        <f>+'[2]Asientos del Diario'!$E$2193</f>
        <v>154054.49</v>
      </c>
      <c r="I117" s="20">
        <f t="shared" si="4"/>
        <v>345945.51</v>
      </c>
      <c r="J117" s="19"/>
      <c r="K117" s="43">
        <v>1250000</v>
      </c>
      <c r="L117" s="43">
        <v>1109001.95</v>
      </c>
      <c r="M117" s="44">
        <f t="shared" si="5"/>
        <v>140998.05000000005</v>
      </c>
      <c r="N117" s="42"/>
      <c r="O117" s="55">
        <v>350000</v>
      </c>
      <c r="P117" s="55">
        <v>321747.2</v>
      </c>
      <c r="Q117" s="56">
        <v>28252.79999999999</v>
      </c>
      <c r="R117" s="54"/>
      <c r="S117" s="82">
        <v>350000</v>
      </c>
      <c r="T117" s="82">
        <f>+'[3]Asientos del Diario'!$E$2264</f>
        <v>265998</v>
      </c>
      <c r="U117" s="82">
        <f t="shared" si="7"/>
        <v>84002</v>
      </c>
      <c r="V117" s="81"/>
    </row>
    <row r="118" spans="1:22" s="5" customFormat="1" ht="12">
      <c r="A118" s="8">
        <v>29903</v>
      </c>
      <c r="B118" s="5" t="s">
        <v>70</v>
      </c>
      <c r="C118" s="22">
        <f>7000000-1800000</f>
        <v>5200000</v>
      </c>
      <c r="D118" s="22">
        <f>+'[1]Asientos del Diario'!$E$2020</f>
        <v>5188677.800000001</v>
      </c>
      <c r="E118" s="22">
        <f t="shared" si="8"/>
        <v>11322.199999999255</v>
      </c>
      <c r="F118" s="21"/>
      <c r="G118" s="20">
        <f>3500000+2000000+3000000</f>
        <v>8500000</v>
      </c>
      <c r="H118" s="20">
        <f>+'[2]Asientos del Diario'!$E$2248</f>
        <v>8311077.529999999</v>
      </c>
      <c r="I118" s="20">
        <f t="shared" si="4"/>
        <v>188922.47000000067</v>
      </c>
      <c r="J118" s="19"/>
      <c r="K118" s="43">
        <v>7635000</v>
      </c>
      <c r="L118" s="43">
        <v>7575049.38</v>
      </c>
      <c r="M118" s="44">
        <f t="shared" si="5"/>
        <v>59950.62000000011</v>
      </c>
      <c r="N118" s="42"/>
      <c r="O118" s="55">
        <v>8000000</v>
      </c>
      <c r="P118" s="55">
        <v>7926456.319999999</v>
      </c>
      <c r="Q118" s="56">
        <v>73543.68000000063</v>
      </c>
      <c r="R118" s="54"/>
      <c r="S118" s="82">
        <f>8500000+400000</f>
        <v>8900000</v>
      </c>
      <c r="T118" s="82">
        <f>+'[3]Asientos del Diario'!$E$2319</f>
        <v>8237278.149999999</v>
      </c>
      <c r="U118" s="82">
        <f t="shared" si="7"/>
        <v>662721.8500000006</v>
      </c>
      <c r="V118" s="81"/>
    </row>
    <row r="119" spans="1:22" s="5" customFormat="1" ht="12">
      <c r="A119" s="8">
        <v>29904</v>
      </c>
      <c r="B119" s="5" t="s">
        <v>71</v>
      </c>
      <c r="C119" s="22">
        <v>500000</v>
      </c>
      <c r="D119" s="22">
        <f>+'[1]Asientos del Diario'!$E$2041</f>
        <v>346217.15</v>
      </c>
      <c r="E119" s="22">
        <f t="shared" si="8"/>
        <v>153782.84999999998</v>
      </c>
      <c r="F119" s="21"/>
      <c r="G119" s="20">
        <v>350000</v>
      </c>
      <c r="H119" s="20">
        <f>+'[2]Asientos del Diario'!$E$2269</f>
        <v>333220</v>
      </c>
      <c r="I119" s="20">
        <f t="shared" si="4"/>
        <v>16780</v>
      </c>
      <c r="J119" s="19"/>
      <c r="K119" s="43">
        <v>2300000</v>
      </c>
      <c r="L119" s="43">
        <v>1565680</v>
      </c>
      <c r="M119" s="44">
        <f t="shared" si="5"/>
        <v>734320</v>
      </c>
      <c r="N119" s="42"/>
      <c r="O119" s="55">
        <v>1500000</v>
      </c>
      <c r="P119" s="55">
        <v>1418447.04</v>
      </c>
      <c r="Q119" s="56">
        <v>81552.95999999996</v>
      </c>
      <c r="R119" s="54"/>
      <c r="S119" s="82">
        <v>1000000</v>
      </c>
      <c r="T119" s="82">
        <f>+'[3]Asientos del Diario'!$E$2340</f>
        <v>690412.11</v>
      </c>
      <c r="U119" s="82">
        <f t="shared" si="7"/>
        <v>309587.89</v>
      </c>
      <c r="V119" s="81"/>
    </row>
    <row r="120" spans="1:22" s="5" customFormat="1" ht="12">
      <c r="A120" s="8">
        <v>29905</v>
      </c>
      <c r="B120" s="5" t="s">
        <v>72</v>
      </c>
      <c r="C120" s="22">
        <v>1600000</v>
      </c>
      <c r="D120" s="22">
        <f>+'[1]Asientos del Diario'!$E$2068</f>
        <v>1528339</v>
      </c>
      <c r="E120" s="22">
        <f t="shared" si="8"/>
        <v>71661</v>
      </c>
      <c r="F120" s="21"/>
      <c r="G120" s="20">
        <v>1600000</v>
      </c>
      <c r="H120" s="20">
        <f>+'[2]Asientos del Diario'!$E$2296</f>
        <v>1217074.7</v>
      </c>
      <c r="I120" s="20">
        <f t="shared" si="4"/>
        <v>382925.30000000005</v>
      </c>
      <c r="J120" s="19"/>
      <c r="K120" s="43">
        <v>1120000</v>
      </c>
      <c r="L120" s="43">
        <v>951987</v>
      </c>
      <c r="M120" s="44">
        <f t="shared" si="5"/>
        <v>168013</v>
      </c>
      <c r="N120" s="42"/>
      <c r="O120" s="55">
        <v>1000000</v>
      </c>
      <c r="P120" s="55">
        <v>923611</v>
      </c>
      <c r="Q120" s="56">
        <v>76389</v>
      </c>
      <c r="R120" s="54"/>
      <c r="S120" s="82">
        <f>1000000-100000</f>
        <v>900000</v>
      </c>
      <c r="T120" s="82">
        <f>+'[3]Asientos del Diario'!$E$2367</f>
        <v>755453</v>
      </c>
      <c r="U120" s="82">
        <f t="shared" si="7"/>
        <v>144547</v>
      </c>
      <c r="V120" s="81"/>
    </row>
    <row r="121" spans="1:22" s="5" customFormat="1" ht="12">
      <c r="A121" s="8">
        <v>29906</v>
      </c>
      <c r="B121" s="5" t="s">
        <v>96</v>
      </c>
      <c r="C121" s="22">
        <v>600000</v>
      </c>
      <c r="D121" s="22">
        <f>+'[1]Asientos del Diario'!$E$2081</f>
        <v>595560.3</v>
      </c>
      <c r="E121" s="22">
        <f t="shared" si="8"/>
        <v>4439.699999999953</v>
      </c>
      <c r="F121" s="21"/>
      <c r="G121" s="20">
        <v>400000</v>
      </c>
      <c r="H121" s="20">
        <f>+'[2]Asientos del Diario'!$E$2309</f>
        <v>327973</v>
      </c>
      <c r="I121" s="20">
        <f t="shared" si="4"/>
        <v>72027</v>
      </c>
      <c r="J121" s="19"/>
      <c r="K121" s="43">
        <v>200000</v>
      </c>
      <c r="L121" s="43">
        <v>190637.5</v>
      </c>
      <c r="M121" s="44">
        <f t="shared" si="5"/>
        <v>9362.5</v>
      </c>
      <c r="N121" s="42"/>
      <c r="O121" s="55">
        <v>200000</v>
      </c>
      <c r="P121" s="55">
        <v>192119.05</v>
      </c>
      <c r="Q121" s="56">
        <v>7880.950000000012</v>
      </c>
      <c r="R121" s="54"/>
      <c r="S121" s="82">
        <v>200000</v>
      </c>
      <c r="T121" s="82">
        <f>+'[3]Asientos del Diario'!$E$2380</f>
        <v>190884.9</v>
      </c>
      <c r="U121" s="82">
        <f t="shared" si="7"/>
        <v>9115.100000000006</v>
      </c>
      <c r="V121" s="81"/>
    </row>
    <row r="122" spans="1:22" s="5" customFormat="1" ht="12">
      <c r="A122" s="8">
        <v>29907</v>
      </c>
      <c r="B122" s="5" t="s">
        <v>73</v>
      </c>
      <c r="C122" s="22">
        <v>300000</v>
      </c>
      <c r="D122" s="22">
        <f>+'[1]Asientos del Diario'!$E$2093</f>
        <v>292155</v>
      </c>
      <c r="E122" s="22">
        <f t="shared" si="8"/>
        <v>7845</v>
      </c>
      <c r="F122" s="21"/>
      <c r="G122" s="20">
        <v>300000</v>
      </c>
      <c r="H122" s="20">
        <f>+'[2]Asientos del Diario'!$E$2321</f>
        <v>174730</v>
      </c>
      <c r="I122" s="20">
        <f t="shared" si="4"/>
        <v>125270</v>
      </c>
      <c r="J122" s="19"/>
      <c r="K122" s="43">
        <v>300000</v>
      </c>
      <c r="L122" s="43">
        <v>176091</v>
      </c>
      <c r="M122" s="44">
        <f t="shared" si="5"/>
        <v>123909</v>
      </c>
      <c r="N122" s="42"/>
      <c r="O122" s="55">
        <v>300000</v>
      </c>
      <c r="P122" s="55"/>
      <c r="Q122" s="56">
        <v>300000</v>
      </c>
      <c r="R122" s="54"/>
      <c r="S122" s="82">
        <v>300000</v>
      </c>
      <c r="T122" s="82"/>
      <c r="U122" s="82">
        <f t="shared" si="7"/>
        <v>300000</v>
      </c>
      <c r="V122" s="81"/>
    </row>
    <row r="123" spans="1:22" s="5" customFormat="1" ht="12">
      <c r="A123" s="8">
        <v>29999</v>
      </c>
      <c r="B123" s="5" t="s">
        <v>74</v>
      </c>
      <c r="C123" s="22">
        <f>200000+900000</f>
        <v>1100000</v>
      </c>
      <c r="D123" s="22">
        <f>+'[1]Asientos del Diario'!$E$2112</f>
        <v>801208.28</v>
      </c>
      <c r="E123" s="22">
        <f t="shared" si="8"/>
        <v>298791.72</v>
      </c>
      <c r="F123" s="21"/>
      <c r="G123" s="20">
        <v>1000000</v>
      </c>
      <c r="H123" s="20">
        <f>+'[2]Asientos del Diario'!$E$2340</f>
        <v>272407.52</v>
      </c>
      <c r="I123" s="20">
        <f t="shared" si="4"/>
        <v>727592.48</v>
      </c>
      <c r="J123" s="19"/>
      <c r="K123" s="43">
        <v>300000</v>
      </c>
      <c r="L123" s="43">
        <v>291174</v>
      </c>
      <c r="M123" s="44">
        <f t="shared" si="5"/>
        <v>8826</v>
      </c>
      <c r="N123" s="42"/>
      <c r="O123" s="55">
        <v>400000</v>
      </c>
      <c r="P123" s="55">
        <v>302704.31999999995</v>
      </c>
      <c r="Q123" s="56">
        <v>97295.68000000005</v>
      </c>
      <c r="R123" s="54"/>
      <c r="S123" s="82">
        <v>200000</v>
      </c>
      <c r="T123" s="82">
        <f>+'[3]Asientos del Diario'!$E$2411</f>
        <v>142909.99</v>
      </c>
      <c r="U123" s="82">
        <f t="shared" si="7"/>
        <v>57090.01000000001</v>
      </c>
      <c r="V123" s="81"/>
    </row>
    <row r="124" spans="1:22" s="5" customFormat="1" ht="12">
      <c r="A124" s="8"/>
      <c r="C124" s="22"/>
      <c r="D124" s="21"/>
      <c r="E124" s="22">
        <f t="shared" si="8"/>
        <v>0</v>
      </c>
      <c r="F124" s="21"/>
      <c r="G124" s="20"/>
      <c r="H124" s="19"/>
      <c r="I124" s="20" t="s">
        <v>116</v>
      </c>
      <c r="J124" s="19"/>
      <c r="K124" s="43"/>
      <c r="L124" s="43"/>
      <c r="M124" s="44" t="s">
        <v>116</v>
      </c>
      <c r="N124" s="42"/>
      <c r="O124" s="55"/>
      <c r="P124" s="55"/>
      <c r="Q124" s="56">
        <v>0</v>
      </c>
      <c r="R124" s="54"/>
      <c r="S124" s="82"/>
      <c r="T124" s="81"/>
      <c r="U124" s="82">
        <f t="shared" si="7"/>
        <v>0</v>
      </c>
      <c r="V124" s="81"/>
    </row>
    <row r="125" spans="1:22" s="5" customFormat="1" ht="15.75">
      <c r="A125" s="3" t="s">
        <v>120</v>
      </c>
      <c r="B125" s="4" t="s">
        <v>75</v>
      </c>
      <c r="C125" s="32">
        <f>SUM(C127:C141)</f>
        <v>245800000</v>
      </c>
      <c r="D125" s="32">
        <f>SUM(D127:D141)</f>
        <v>242712678.22</v>
      </c>
      <c r="E125" s="32">
        <f>SUM(E127:E141)</f>
        <v>3087321.7800000007</v>
      </c>
      <c r="F125" s="31">
        <f>+D125/C125*100</f>
        <v>98.74396998372661</v>
      </c>
      <c r="G125" s="35">
        <f>SUM(G127:G141)</f>
        <v>83500000</v>
      </c>
      <c r="H125" s="35">
        <f>SUM(H127:H141)</f>
        <v>78100674.45000002</v>
      </c>
      <c r="I125" s="35">
        <f>SUM(I127:I141)</f>
        <v>5399325.549999997</v>
      </c>
      <c r="J125" s="29">
        <f>+H125/G125*100</f>
        <v>93.53374185628745</v>
      </c>
      <c r="K125" s="45">
        <f>SUM(K127:K141)</f>
        <v>299240534</v>
      </c>
      <c r="L125" s="45">
        <f>SUM(L127:L141)</f>
        <v>288941006.97999996</v>
      </c>
      <c r="M125" s="45">
        <f>SUM(M127:M141)</f>
        <v>10299527.020000009</v>
      </c>
      <c r="N125" s="41">
        <f>+L125/K125*100</f>
        <v>96.55811100109852</v>
      </c>
      <c r="O125" s="57">
        <f>SUM(O127:O140)</f>
        <v>169030000</v>
      </c>
      <c r="P125" s="57">
        <f>SUM(P127:P140)</f>
        <v>161085934.53</v>
      </c>
      <c r="Q125" s="57">
        <f>SUM(Q127:Q140)</f>
        <v>7944065.469999999</v>
      </c>
      <c r="R125" s="53">
        <f>+P125/O125*100</f>
        <v>95.30020382772288</v>
      </c>
      <c r="S125" s="84">
        <f>+S126+S134+S139</f>
        <v>44302000</v>
      </c>
      <c r="T125" s="84">
        <f>SUM(T126:T140)</f>
        <v>36234484.67</v>
      </c>
      <c r="U125" s="84">
        <f t="shared" si="7"/>
        <v>8067515.329999998</v>
      </c>
      <c r="V125" s="80">
        <f>+T125/S125*100</f>
        <v>81.78972658119272</v>
      </c>
    </row>
    <row r="126" spans="1:22" s="5" customFormat="1" ht="12">
      <c r="A126" s="9">
        <v>501</v>
      </c>
      <c r="B126" s="7" t="s">
        <v>76</v>
      </c>
      <c r="C126" s="22"/>
      <c r="D126" s="21"/>
      <c r="E126" s="22">
        <f aca="true" t="shared" si="9" ref="E126:E139">+C126-D126</f>
        <v>0</v>
      </c>
      <c r="F126" s="21"/>
      <c r="G126" s="20"/>
      <c r="H126" s="19"/>
      <c r="I126" s="20" t="s">
        <v>116</v>
      </c>
      <c r="J126" s="19"/>
      <c r="K126" s="43"/>
      <c r="L126" s="43"/>
      <c r="M126" s="44">
        <f t="shared" si="5"/>
        <v>0</v>
      </c>
      <c r="N126" s="42"/>
      <c r="O126" s="55" t="s">
        <v>116</v>
      </c>
      <c r="P126" s="55"/>
      <c r="Q126" s="56">
        <v>0</v>
      </c>
      <c r="R126" s="54"/>
      <c r="S126" s="82">
        <f>SUM(S127:S133)</f>
        <v>14752000</v>
      </c>
      <c r="T126" s="81"/>
      <c r="U126" s="82">
        <f t="shared" si="7"/>
        <v>14752000</v>
      </c>
      <c r="V126" s="81"/>
    </row>
    <row r="127" spans="1:22" s="5" customFormat="1" ht="12">
      <c r="A127" s="8">
        <v>50102</v>
      </c>
      <c r="B127" s="5" t="s">
        <v>138</v>
      </c>
      <c r="C127" s="22">
        <v>0</v>
      </c>
      <c r="D127" s="22"/>
      <c r="E127" s="22">
        <f t="shared" si="9"/>
        <v>0</v>
      </c>
      <c r="F127" s="21"/>
      <c r="G127" s="20">
        <v>15000000</v>
      </c>
      <c r="H127" s="20">
        <f>+'[2]Asientos del Diario'!$E$2346</f>
        <v>11703791</v>
      </c>
      <c r="I127" s="20">
        <f t="shared" si="4"/>
        <v>3296209</v>
      </c>
      <c r="J127" s="19"/>
      <c r="K127" s="43">
        <v>66000000</v>
      </c>
      <c r="L127" s="43">
        <v>63133121.7</v>
      </c>
      <c r="M127" s="44">
        <f t="shared" si="5"/>
        <v>2866878.299999997</v>
      </c>
      <c r="N127" s="42"/>
      <c r="O127" s="55">
        <v>60000000</v>
      </c>
      <c r="P127" s="55">
        <v>60000000</v>
      </c>
      <c r="Q127" s="56">
        <v>0</v>
      </c>
      <c r="R127" s="54"/>
      <c r="S127" s="82"/>
      <c r="T127" s="82"/>
      <c r="U127" s="82">
        <f t="shared" si="7"/>
        <v>0</v>
      </c>
      <c r="V127" s="81"/>
    </row>
    <row r="128" spans="1:22" s="5" customFormat="1" ht="12">
      <c r="A128" s="8">
        <v>50103</v>
      </c>
      <c r="B128" s="5" t="s">
        <v>77</v>
      </c>
      <c r="C128" s="22">
        <v>3000000</v>
      </c>
      <c r="D128" s="22">
        <f>+'[1]Asientos del Diario'!$E$2147</f>
        <v>2698658.52</v>
      </c>
      <c r="E128" s="22">
        <f t="shared" si="9"/>
        <v>301341.48</v>
      </c>
      <c r="F128" s="21"/>
      <c r="G128" s="20">
        <v>1000000</v>
      </c>
      <c r="H128" s="20">
        <f>+'[2]Asientos del Diario'!$E$2375</f>
        <v>981397.36</v>
      </c>
      <c r="I128" s="20">
        <f t="shared" si="4"/>
        <v>18602.640000000014</v>
      </c>
      <c r="J128" s="19"/>
      <c r="K128" s="43">
        <v>2600000</v>
      </c>
      <c r="L128" s="43">
        <v>1264062.71</v>
      </c>
      <c r="M128" s="44">
        <f t="shared" si="5"/>
        <v>1335937.29</v>
      </c>
      <c r="N128" s="42"/>
      <c r="O128" s="55">
        <v>11000000</v>
      </c>
      <c r="P128" s="55">
        <v>10218066.6</v>
      </c>
      <c r="Q128" s="56">
        <v>781933.4000000004</v>
      </c>
      <c r="R128" s="54"/>
      <c r="S128" s="82">
        <f>2500000-250000</f>
        <v>2250000</v>
      </c>
      <c r="T128" s="82">
        <f>+'[3]Asientos del Diario'!$E$2448</f>
        <v>1983904.2</v>
      </c>
      <c r="U128" s="82">
        <f t="shared" si="7"/>
        <v>266095.80000000005</v>
      </c>
      <c r="V128" s="81"/>
    </row>
    <row r="129" spans="1:22" s="5" customFormat="1" ht="12">
      <c r="A129" s="8">
        <v>50104</v>
      </c>
      <c r="B129" s="5" t="s">
        <v>78</v>
      </c>
      <c r="C129" s="22">
        <f>24000000-1500000-4000000</f>
        <v>18500000</v>
      </c>
      <c r="D129" s="22">
        <f>+'[1]Asientos del Diario'!$E$2168</f>
        <v>18411760.35</v>
      </c>
      <c r="E129" s="22">
        <f t="shared" si="9"/>
        <v>88239.64999999851</v>
      </c>
      <c r="F129" s="21"/>
      <c r="G129" s="20">
        <f>8000000+12000000</f>
        <v>20000000</v>
      </c>
      <c r="H129" s="20">
        <f>+'[2]Asientos del Diario'!$E$2396</f>
        <v>19646884.46</v>
      </c>
      <c r="I129" s="20">
        <f t="shared" si="4"/>
        <v>353115.5399999991</v>
      </c>
      <c r="J129" s="19"/>
      <c r="K129" s="43">
        <v>46000000</v>
      </c>
      <c r="L129" s="43">
        <v>45970225.47</v>
      </c>
      <c r="M129" s="44">
        <f t="shared" si="5"/>
        <v>29774.530000001192</v>
      </c>
      <c r="N129" s="42"/>
      <c r="O129" s="55">
        <v>31500000</v>
      </c>
      <c r="P129" s="55">
        <v>29027728.400000002</v>
      </c>
      <c r="Q129" s="56">
        <v>2472271.5999999978</v>
      </c>
      <c r="R129" s="54"/>
      <c r="S129" s="82">
        <v>7252000</v>
      </c>
      <c r="T129" s="82">
        <f>+'[3]Asientos del Diario'!$E$2469</f>
        <v>5981228.7</v>
      </c>
      <c r="U129" s="82">
        <f t="shared" si="7"/>
        <v>1270771.2999999998</v>
      </c>
      <c r="V129" s="81"/>
    </row>
    <row r="130" spans="1:22" s="5" customFormat="1" ht="12">
      <c r="A130" s="8">
        <v>50105</v>
      </c>
      <c r="B130" s="5" t="s">
        <v>124</v>
      </c>
      <c r="C130" s="22">
        <f>10000000+30425000</f>
        <v>40425000</v>
      </c>
      <c r="D130" s="22">
        <f>+'[1]Asientos del Diario'!$E$2203</f>
        <v>39905005.94</v>
      </c>
      <c r="E130" s="22">
        <f t="shared" si="9"/>
        <v>519994.0600000024</v>
      </c>
      <c r="F130" s="21"/>
      <c r="G130" s="20">
        <f>24500000+900000+825000</f>
        <v>26225000</v>
      </c>
      <c r="H130" s="20">
        <f>+'[2]Asientos del Diario'!$E$2431</f>
        <v>25996626.02</v>
      </c>
      <c r="I130" s="20">
        <f t="shared" si="4"/>
        <v>228373.98000000045</v>
      </c>
      <c r="J130" s="19"/>
      <c r="K130" s="43">
        <v>98389534</v>
      </c>
      <c r="L130" s="43">
        <v>95674820.21</v>
      </c>
      <c r="M130" s="44">
        <f t="shared" si="5"/>
        <v>2714713.7900000066</v>
      </c>
      <c r="N130" s="42"/>
      <c r="O130" s="55">
        <v>49965155.78</v>
      </c>
      <c r="P130" s="55">
        <v>49811362.07</v>
      </c>
      <c r="Q130" s="56">
        <v>153793.7100000009</v>
      </c>
      <c r="R130" s="54"/>
      <c r="S130" s="82"/>
      <c r="T130" s="82"/>
      <c r="U130" s="82">
        <f t="shared" si="7"/>
        <v>0</v>
      </c>
      <c r="V130" s="81"/>
    </row>
    <row r="131" spans="1:22" s="5" customFormat="1" ht="12">
      <c r="A131" s="8">
        <v>50106</v>
      </c>
      <c r="B131" s="5" t="s">
        <v>79</v>
      </c>
      <c r="C131" s="22">
        <v>2500000</v>
      </c>
      <c r="D131" s="22">
        <f>+'[1]Asientos del Diario'!$E$2213</f>
        <v>2159009.3</v>
      </c>
      <c r="E131" s="22">
        <f t="shared" si="9"/>
        <v>340990.7000000002</v>
      </c>
      <c r="F131" s="21"/>
      <c r="G131" s="20">
        <f>1000000-825000</f>
        <v>175000</v>
      </c>
      <c r="H131" s="20">
        <f>+'[2]Asientos del Diario'!$E$2438</f>
        <v>0</v>
      </c>
      <c r="I131" s="20">
        <f t="shared" si="4"/>
        <v>175000</v>
      </c>
      <c r="J131" s="19"/>
      <c r="K131" s="43">
        <v>500000</v>
      </c>
      <c r="L131" s="43">
        <v>25000</v>
      </c>
      <c r="M131" s="44">
        <f t="shared" si="5"/>
        <v>475000</v>
      </c>
      <c r="N131" s="42"/>
      <c r="O131" s="55">
        <v>34844.22</v>
      </c>
      <c r="P131" s="55">
        <v>34844.22</v>
      </c>
      <c r="Q131" s="56">
        <v>0</v>
      </c>
      <c r="R131" s="54"/>
      <c r="S131" s="82"/>
      <c r="T131" s="82"/>
      <c r="U131" s="82">
        <f t="shared" si="7"/>
        <v>0</v>
      </c>
      <c r="V131" s="81"/>
    </row>
    <row r="132" spans="1:22" s="5" customFormat="1" ht="12">
      <c r="A132" s="8">
        <v>50107</v>
      </c>
      <c r="B132" s="5" t="s">
        <v>95</v>
      </c>
      <c r="C132" s="22">
        <v>0</v>
      </c>
      <c r="D132" s="22"/>
      <c r="E132" s="22">
        <f t="shared" si="9"/>
        <v>0</v>
      </c>
      <c r="F132" s="21"/>
      <c r="G132" s="20">
        <v>0</v>
      </c>
      <c r="H132" s="20"/>
      <c r="I132" s="20">
        <f t="shared" si="4"/>
        <v>0</v>
      </c>
      <c r="J132" s="19"/>
      <c r="K132" s="43">
        <v>0</v>
      </c>
      <c r="L132" s="43"/>
      <c r="M132" s="44">
        <f t="shared" si="5"/>
        <v>0</v>
      </c>
      <c r="N132" s="42"/>
      <c r="O132" s="55">
        <v>0</v>
      </c>
      <c r="P132" s="55"/>
      <c r="Q132" s="56">
        <v>0</v>
      </c>
      <c r="R132" s="54"/>
      <c r="S132" s="82">
        <v>250000</v>
      </c>
      <c r="T132" s="82">
        <f>+'[3]Asientos del Diario'!$E$2518</f>
        <v>92000</v>
      </c>
      <c r="U132" s="82">
        <f t="shared" si="7"/>
        <v>158000</v>
      </c>
      <c r="V132" s="81"/>
    </row>
    <row r="133" spans="1:22" s="5" customFormat="1" ht="12">
      <c r="A133" s="8">
        <v>50199</v>
      </c>
      <c r="B133" s="5" t="s">
        <v>80</v>
      </c>
      <c r="C133" s="22">
        <f>3500000+1500000</f>
        <v>5000000</v>
      </c>
      <c r="D133" s="22">
        <f>+'[1]Asientos del Diario'!$E$2239</f>
        <v>4567955.36</v>
      </c>
      <c r="E133" s="22">
        <f t="shared" si="9"/>
        <v>432044.63999999966</v>
      </c>
      <c r="F133" s="21"/>
      <c r="G133" s="20">
        <f>1500000+800000</f>
        <v>2300000</v>
      </c>
      <c r="H133" s="20">
        <f>+'[2]Asientos del Diario'!$E$2467</f>
        <v>1928495.84</v>
      </c>
      <c r="I133" s="20">
        <f t="shared" si="4"/>
        <v>371504.1599999999</v>
      </c>
      <c r="J133" s="19"/>
      <c r="K133" s="43">
        <v>2351000</v>
      </c>
      <c r="L133" s="43">
        <v>1141009.08</v>
      </c>
      <c r="M133" s="44">
        <f t="shared" si="5"/>
        <v>1209990.92</v>
      </c>
      <c r="N133" s="42"/>
      <c r="O133" s="55">
        <v>2500000</v>
      </c>
      <c r="P133" s="55">
        <v>2057874.33</v>
      </c>
      <c r="Q133" s="56">
        <v>442125.6699999999</v>
      </c>
      <c r="R133" s="54"/>
      <c r="S133" s="82">
        <v>5000000</v>
      </c>
      <c r="T133" s="82">
        <f>+'[3]Asientos del Diario'!$E$2540</f>
        <v>4572788</v>
      </c>
      <c r="U133" s="82" t="s">
        <v>116</v>
      </c>
      <c r="V133" s="81"/>
    </row>
    <row r="134" spans="1:22" s="5" customFormat="1" ht="12">
      <c r="A134" s="9">
        <v>502</v>
      </c>
      <c r="B134" s="7" t="s">
        <v>81</v>
      </c>
      <c r="C134" s="22"/>
      <c r="D134" s="21"/>
      <c r="E134" s="22">
        <f t="shared" si="9"/>
        <v>0</v>
      </c>
      <c r="F134" s="21"/>
      <c r="G134" s="20"/>
      <c r="H134" s="19"/>
      <c r="I134" s="20">
        <f t="shared" si="4"/>
        <v>0</v>
      </c>
      <c r="J134" s="19"/>
      <c r="K134" s="43"/>
      <c r="L134" s="43"/>
      <c r="M134" s="44">
        <f t="shared" si="5"/>
        <v>0</v>
      </c>
      <c r="N134" s="42"/>
      <c r="O134" s="55">
        <v>0</v>
      </c>
      <c r="P134" s="55"/>
      <c r="Q134" s="56">
        <v>0</v>
      </c>
      <c r="R134" s="54"/>
      <c r="S134" s="82">
        <f>SUM(S135:S137)</f>
        <v>9550000</v>
      </c>
      <c r="T134" s="81"/>
      <c r="U134" s="82">
        <f t="shared" si="7"/>
        <v>9550000</v>
      </c>
      <c r="V134" s="81"/>
    </row>
    <row r="135" spans="1:22" s="5" customFormat="1" ht="12">
      <c r="A135" s="8">
        <v>50201</v>
      </c>
      <c r="B135" s="5" t="s">
        <v>82</v>
      </c>
      <c r="C135" s="22">
        <f>100000000+10000000</f>
        <v>110000000</v>
      </c>
      <c r="D135" s="22">
        <f>+'[1]Asientos del Diario'!$E$2257</f>
        <v>109354662.25</v>
      </c>
      <c r="E135" s="22">
        <f t="shared" si="9"/>
        <v>645337.75</v>
      </c>
      <c r="F135" s="21"/>
      <c r="G135" s="20">
        <v>15000000</v>
      </c>
      <c r="H135" s="20">
        <f>+'[2]Asientos del Diario'!$E$2485</f>
        <v>15000000.090000002</v>
      </c>
      <c r="I135" s="20">
        <f t="shared" si="4"/>
        <v>-0.09000000171363354</v>
      </c>
      <c r="J135" s="19"/>
      <c r="K135" s="43">
        <v>23990250</v>
      </c>
      <c r="L135" s="43">
        <v>23821200</v>
      </c>
      <c r="M135" s="44">
        <f t="shared" si="5"/>
        <v>169050</v>
      </c>
      <c r="N135" s="42"/>
      <c r="O135" s="55">
        <v>0</v>
      </c>
      <c r="P135" s="55"/>
      <c r="Q135" s="56">
        <v>0</v>
      </c>
      <c r="R135" s="54"/>
      <c r="S135" s="82"/>
      <c r="T135" s="82"/>
      <c r="U135" s="82">
        <f t="shared" si="7"/>
        <v>0</v>
      </c>
      <c r="V135" s="81"/>
    </row>
    <row r="136" spans="1:22" s="5" customFormat="1" ht="12">
      <c r="A136" s="8">
        <v>50207</v>
      </c>
      <c r="B136" s="5" t="s">
        <v>144</v>
      </c>
      <c r="C136" s="22">
        <f>70000000-11625000</f>
        <v>58375000</v>
      </c>
      <c r="D136" s="22">
        <f>+'[1]Asientos del Diario'!$E$2267</f>
        <v>57616626.5</v>
      </c>
      <c r="E136" s="22">
        <f t="shared" si="9"/>
        <v>758373.5</v>
      </c>
      <c r="F136" s="21"/>
      <c r="G136" s="20">
        <v>0</v>
      </c>
      <c r="H136" s="20">
        <f>+'[2]Asientos del Diario'!$E$2492</f>
        <v>0</v>
      </c>
      <c r="I136" s="20">
        <f t="shared" si="4"/>
        <v>0</v>
      </c>
      <c r="J136" s="19"/>
      <c r="K136" s="43">
        <v>51009750</v>
      </c>
      <c r="L136" s="43">
        <v>49988657.87</v>
      </c>
      <c r="M136" s="44">
        <f t="shared" si="5"/>
        <v>1021092.1300000027</v>
      </c>
      <c r="N136" s="42"/>
      <c r="O136" s="55">
        <v>0</v>
      </c>
      <c r="P136" s="55"/>
      <c r="Q136" s="56">
        <v>0</v>
      </c>
      <c r="R136" s="54"/>
      <c r="S136" s="82"/>
      <c r="T136" s="82"/>
      <c r="U136" s="82">
        <f t="shared" si="7"/>
        <v>0</v>
      </c>
      <c r="V136" s="81"/>
    </row>
    <row r="137" spans="1:22" s="5" customFormat="1" ht="12">
      <c r="A137" s="8">
        <v>50299</v>
      </c>
      <c r="B137" s="5" t="s">
        <v>143</v>
      </c>
      <c r="C137" s="22">
        <v>0</v>
      </c>
      <c r="D137" s="21"/>
      <c r="E137" s="22">
        <f t="shared" si="9"/>
        <v>0</v>
      </c>
      <c r="F137" s="21"/>
      <c r="G137" s="20">
        <v>0</v>
      </c>
      <c r="H137" s="19"/>
      <c r="I137" s="20">
        <f t="shared" si="4"/>
        <v>0</v>
      </c>
      <c r="J137" s="19"/>
      <c r="K137" s="43">
        <v>0</v>
      </c>
      <c r="L137" s="43"/>
      <c r="M137" s="44">
        <f t="shared" si="5"/>
        <v>0</v>
      </c>
      <c r="N137" s="42"/>
      <c r="O137" s="55">
        <v>0</v>
      </c>
      <c r="P137" s="55"/>
      <c r="Q137" s="56">
        <v>0</v>
      </c>
      <c r="R137" s="54"/>
      <c r="S137" s="82">
        <f>16802000-7252000</f>
        <v>9550000</v>
      </c>
      <c r="T137" s="82">
        <f>+'[3]Asientos del Diario'!$E$2578</f>
        <v>6535000</v>
      </c>
      <c r="U137" s="82">
        <f t="shared" si="7"/>
        <v>3015000</v>
      </c>
      <c r="V137" s="81"/>
    </row>
    <row r="138" spans="1:22" s="5" customFormat="1" ht="12">
      <c r="A138" s="8"/>
      <c r="C138" s="22"/>
      <c r="D138" s="21"/>
      <c r="E138" s="22">
        <f t="shared" si="9"/>
        <v>0</v>
      </c>
      <c r="F138" s="21"/>
      <c r="G138" s="20"/>
      <c r="H138" s="19"/>
      <c r="I138" s="20">
        <f t="shared" si="4"/>
        <v>0</v>
      </c>
      <c r="J138" s="19"/>
      <c r="K138" s="43"/>
      <c r="L138" s="43"/>
      <c r="M138" s="44">
        <f t="shared" si="5"/>
        <v>0</v>
      </c>
      <c r="N138" s="42"/>
      <c r="O138" s="55"/>
      <c r="P138" s="55"/>
      <c r="Q138" s="56">
        <v>0</v>
      </c>
      <c r="R138" s="54"/>
      <c r="S138" s="82"/>
      <c r="T138" s="81"/>
      <c r="U138" s="82">
        <f t="shared" si="7"/>
        <v>0</v>
      </c>
      <c r="V138" s="81"/>
    </row>
    <row r="139" spans="1:22" s="5" customFormat="1" ht="12">
      <c r="A139" s="9">
        <v>599</v>
      </c>
      <c r="B139" s="7" t="s">
        <v>139</v>
      </c>
      <c r="C139" s="22"/>
      <c r="D139" s="21"/>
      <c r="E139" s="22">
        <f t="shared" si="9"/>
        <v>0</v>
      </c>
      <c r="F139" s="21"/>
      <c r="G139" s="20"/>
      <c r="H139" s="19"/>
      <c r="I139" s="20">
        <f t="shared" si="4"/>
        <v>0</v>
      </c>
      <c r="J139" s="19"/>
      <c r="K139" s="43"/>
      <c r="L139" s="43"/>
      <c r="M139" s="44">
        <f t="shared" si="5"/>
        <v>0</v>
      </c>
      <c r="N139" s="42"/>
      <c r="O139" s="55" t="s">
        <v>116</v>
      </c>
      <c r="P139" s="55"/>
      <c r="Q139" s="56" t="s">
        <v>116</v>
      </c>
      <c r="R139" s="54"/>
      <c r="S139" s="82">
        <f>SUM(S140:S141)</f>
        <v>20000000</v>
      </c>
      <c r="T139" s="81"/>
      <c r="U139" s="82">
        <f t="shared" si="7"/>
        <v>20000000</v>
      </c>
      <c r="V139" s="81"/>
    </row>
    <row r="140" spans="1:22" s="5" customFormat="1" ht="12">
      <c r="A140" s="8">
        <v>59903</v>
      </c>
      <c r="B140" s="5" t="s">
        <v>140</v>
      </c>
      <c r="C140" s="22">
        <v>8000000</v>
      </c>
      <c r="D140" s="22">
        <f>+'[1]Asientos del Diario'!$E$2279</f>
        <v>7999000</v>
      </c>
      <c r="E140" s="22">
        <f aca="true" t="shared" si="10" ref="E140:E156">+C140-D140</f>
        <v>1000</v>
      </c>
      <c r="F140" s="21"/>
      <c r="G140" s="20">
        <v>3800000</v>
      </c>
      <c r="H140" s="20">
        <f>+'[2]Asientos del Diario'!$E$2507</f>
        <v>2843479.68</v>
      </c>
      <c r="I140" s="20">
        <f aca="true" t="shared" si="11" ref="I140:I158">+G140-H140</f>
        <v>956520.3199999998</v>
      </c>
      <c r="J140" s="19"/>
      <c r="K140" s="43">
        <v>8400000</v>
      </c>
      <c r="L140" s="43">
        <v>7922909.9399999995</v>
      </c>
      <c r="M140" s="44">
        <f aca="true" t="shared" si="12" ref="M140:M158">+K140-L140</f>
        <v>477090.0600000005</v>
      </c>
      <c r="N140" s="42"/>
      <c r="O140" s="55">
        <v>14030000</v>
      </c>
      <c r="P140" s="55">
        <v>9936058.91</v>
      </c>
      <c r="Q140" s="56">
        <v>4093941.09</v>
      </c>
      <c r="R140" s="54"/>
      <c r="S140" s="82">
        <v>20000000</v>
      </c>
      <c r="T140" s="82">
        <f>+'[3]Asientos del Diario'!$E$2591</f>
        <v>17069563.77</v>
      </c>
      <c r="U140" s="82">
        <f t="shared" si="7"/>
        <v>2930436.2300000004</v>
      </c>
      <c r="V140" s="81"/>
    </row>
    <row r="141" spans="1:22" s="5" customFormat="1" ht="12">
      <c r="A141" s="8">
        <v>59999</v>
      </c>
      <c r="B141" s="5" t="s">
        <v>141</v>
      </c>
      <c r="C141" s="22">
        <v>0</v>
      </c>
      <c r="D141" s="21"/>
      <c r="E141" s="22">
        <f t="shared" si="10"/>
        <v>0</v>
      </c>
      <c r="F141" s="21"/>
      <c r="G141" s="20">
        <v>0</v>
      </c>
      <c r="H141" s="19"/>
      <c r="I141" s="20">
        <f t="shared" si="11"/>
        <v>0</v>
      </c>
      <c r="J141" s="19"/>
      <c r="K141" s="43">
        <v>0</v>
      </c>
      <c r="L141" s="43"/>
      <c r="M141" s="44">
        <f t="shared" si="12"/>
        <v>0</v>
      </c>
      <c r="N141" s="42"/>
      <c r="O141" s="55"/>
      <c r="P141" s="55"/>
      <c r="Q141" s="56">
        <v>0</v>
      </c>
      <c r="R141" s="54"/>
      <c r="S141" s="82"/>
      <c r="T141" s="81"/>
      <c r="U141" s="82">
        <f t="shared" si="7"/>
        <v>0</v>
      </c>
      <c r="V141" s="81"/>
    </row>
    <row r="142" spans="1:22" s="5" customFormat="1" ht="12">
      <c r="A142" s="8"/>
      <c r="C142" s="22"/>
      <c r="D142" s="21"/>
      <c r="E142" s="22">
        <f t="shared" si="10"/>
        <v>0</v>
      </c>
      <c r="F142" s="21"/>
      <c r="G142" s="20"/>
      <c r="H142" s="19"/>
      <c r="I142" s="20" t="s">
        <v>116</v>
      </c>
      <c r="J142" s="19"/>
      <c r="K142" s="43"/>
      <c r="L142" s="43"/>
      <c r="M142" s="44">
        <f t="shared" si="12"/>
        <v>0</v>
      </c>
      <c r="N142" s="42"/>
      <c r="O142" s="55"/>
      <c r="P142" s="55"/>
      <c r="Q142" s="56">
        <v>0</v>
      </c>
      <c r="R142" s="54"/>
      <c r="S142" s="82"/>
      <c r="T142" s="81"/>
      <c r="U142" s="82">
        <f aca="true" t="shared" si="13" ref="U142:U158">+S142-T142</f>
        <v>0</v>
      </c>
      <c r="V142" s="81"/>
    </row>
    <row r="143" spans="1:22" s="5" customFormat="1" ht="15.75">
      <c r="A143" s="3" t="s">
        <v>121</v>
      </c>
      <c r="B143" s="4" t="s">
        <v>83</v>
      </c>
      <c r="C143" s="32">
        <f>SUM(C145:C156)</f>
        <v>118693000</v>
      </c>
      <c r="D143" s="32">
        <f>SUM(D145:D156)</f>
        <v>112644060.77000001</v>
      </c>
      <c r="E143" s="32">
        <f>SUM(E145:E156)</f>
        <v>6048939.229999997</v>
      </c>
      <c r="F143" s="31">
        <f>+D143/C143*100</f>
        <v>94.90371021879977</v>
      </c>
      <c r="G143" s="35">
        <f>SUM(G145:G158)</f>
        <v>110229808</v>
      </c>
      <c r="H143" s="35">
        <f>SUM(H145:H158)</f>
        <v>99102039.58000001</v>
      </c>
      <c r="I143" s="35">
        <f>SUM(I145:I158)</f>
        <v>11127768.419999994</v>
      </c>
      <c r="J143" s="29">
        <f>+H143/G143*100</f>
        <v>89.90493712916565</v>
      </c>
      <c r="K143" s="45">
        <f>SUM(K144:K158)</f>
        <v>156079652</v>
      </c>
      <c r="L143" s="45">
        <f>SUM(L144:L158)</f>
        <v>136626240.53000003</v>
      </c>
      <c r="M143" s="45">
        <f>SUM(M144:M158)</f>
        <v>19453411.46999998</v>
      </c>
      <c r="N143" s="41">
        <f>+L143/K143*100</f>
        <v>87.53622831629586</v>
      </c>
      <c r="O143" s="57">
        <f>SUM(O145:O158)</f>
        <v>154040047.29</v>
      </c>
      <c r="P143" s="57">
        <f>SUM(P145:P158)</f>
        <v>125175871.85000002</v>
      </c>
      <c r="Q143" s="57">
        <f>SUM(Q145:Q158)</f>
        <v>32164175.439999986</v>
      </c>
      <c r="R143" s="53">
        <f>+P143/O143*100</f>
        <v>81.26190172763353</v>
      </c>
      <c r="S143" s="84">
        <f>+S144+S146+S150+S153+S155+S157</f>
        <v>152081000</v>
      </c>
      <c r="T143" s="84">
        <f>SUM(T145:T158)</f>
        <v>116183444.1</v>
      </c>
      <c r="U143" s="84">
        <f t="shared" si="13"/>
        <v>35897555.900000006</v>
      </c>
      <c r="V143" s="80">
        <f>+T143/S143*100</f>
        <v>76.3957654802375</v>
      </c>
    </row>
    <row r="144" spans="1:22" s="5" customFormat="1" ht="12">
      <c r="A144" s="9">
        <v>601</v>
      </c>
      <c r="B144" s="7" t="s">
        <v>115</v>
      </c>
      <c r="C144" s="22"/>
      <c r="D144" s="21"/>
      <c r="E144" s="22">
        <f t="shared" si="10"/>
        <v>0</v>
      </c>
      <c r="F144" s="21"/>
      <c r="G144" s="20"/>
      <c r="H144" s="19"/>
      <c r="I144" s="20" t="s">
        <v>116</v>
      </c>
      <c r="J144" s="19"/>
      <c r="K144" s="43"/>
      <c r="L144" s="43"/>
      <c r="M144" s="44">
        <f t="shared" si="12"/>
        <v>0</v>
      </c>
      <c r="N144" s="42"/>
      <c r="O144" s="55" t="s">
        <v>116</v>
      </c>
      <c r="P144" s="55"/>
      <c r="Q144" s="56">
        <v>73956000</v>
      </c>
      <c r="R144" s="54"/>
      <c r="S144" s="82">
        <f>SUM(S145)</f>
        <v>83081000</v>
      </c>
      <c r="T144" s="81"/>
      <c r="U144" s="82">
        <f t="shared" si="13"/>
        <v>83081000</v>
      </c>
      <c r="V144" s="81"/>
    </row>
    <row r="145" spans="1:22" s="5" customFormat="1" ht="12">
      <c r="A145" s="8">
        <v>60103</v>
      </c>
      <c r="B145" s="5" t="s">
        <v>84</v>
      </c>
      <c r="C145" s="22">
        <v>46093000</v>
      </c>
      <c r="D145" s="22">
        <f>+'[1]Asientos del Diario'!$E$2319</f>
        <v>43225677.31</v>
      </c>
      <c r="E145" s="22">
        <f t="shared" si="10"/>
        <v>2867322.6899999976</v>
      </c>
      <c r="F145" s="21"/>
      <c r="G145" s="20">
        <f>22664610+9776729+10792000+5540000-194115-83670+266444+114847-290000-125000</f>
        <v>48461845</v>
      </c>
      <c r="H145" s="20">
        <f>+'[2]Asientos del Diario'!$E$2547</f>
        <v>47001273.09</v>
      </c>
      <c r="I145" s="20">
        <f t="shared" si="11"/>
        <v>1460571.9099999964</v>
      </c>
      <c r="J145" s="19"/>
      <c r="K145" s="43">
        <v>74193000</v>
      </c>
      <c r="L145" s="43">
        <v>71575954.20000002</v>
      </c>
      <c r="M145" s="44">
        <f t="shared" si="12"/>
        <v>2617045.799999982</v>
      </c>
      <c r="N145" s="42"/>
      <c r="O145" s="55">
        <v>73956000</v>
      </c>
      <c r="P145" s="55">
        <v>67487090.74000001</v>
      </c>
      <c r="Q145" s="56">
        <v>6468909.25999999</v>
      </c>
      <c r="R145" s="54"/>
      <c r="S145" s="82">
        <v>83081000</v>
      </c>
      <c r="T145" s="82">
        <f>+'[3]Asientos del Diario'!$E$2631</f>
        <v>72720585.88</v>
      </c>
      <c r="U145" s="82">
        <f t="shared" si="13"/>
        <v>10360414.120000005</v>
      </c>
      <c r="V145" s="81"/>
    </row>
    <row r="146" spans="1:22" s="5" customFormat="1" ht="12">
      <c r="A146" s="9">
        <v>602</v>
      </c>
      <c r="B146" s="7" t="s">
        <v>85</v>
      </c>
      <c r="C146" s="22" t="s">
        <v>116</v>
      </c>
      <c r="D146" s="21"/>
      <c r="E146" s="22">
        <v>0</v>
      </c>
      <c r="F146" s="21"/>
      <c r="G146" s="20" t="s">
        <v>116</v>
      </c>
      <c r="H146" s="19"/>
      <c r="I146" s="20" t="s">
        <v>116</v>
      </c>
      <c r="J146" s="19"/>
      <c r="K146" s="43">
        <v>0</v>
      </c>
      <c r="L146" s="43"/>
      <c r="M146" s="44">
        <f t="shared" si="12"/>
        <v>0</v>
      </c>
      <c r="N146" s="42"/>
      <c r="O146" s="55" t="s">
        <v>116</v>
      </c>
      <c r="P146" s="55"/>
      <c r="Q146" s="56" t="s">
        <v>116</v>
      </c>
      <c r="R146" s="54"/>
      <c r="S146" s="82">
        <f>SUM(S147:S149)</f>
        <v>2750000</v>
      </c>
      <c r="T146" s="81"/>
      <c r="U146" s="82">
        <f t="shared" si="13"/>
        <v>2750000</v>
      </c>
      <c r="V146" s="81"/>
    </row>
    <row r="147" spans="1:22" s="5" customFormat="1" ht="12">
      <c r="A147" s="8">
        <v>60201</v>
      </c>
      <c r="B147" s="5" t="s">
        <v>86</v>
      </c>
      <c r="C147" s="22">
        <f>2000000-1000000-1000000</f>
        <v>0</v>
      </c>
      <c r="D147" s="21"/>
      <c r="E147" s="22">
        <f t="shared" si="10"/>
        <v>0</v>
      </c>
      <c r="F147" s="21"/>
      <c r="G147" s="20">
        <f>2000000-1000000-1000000</f>
        <v>0</v>
      </c>
      <c r="H147" s="19"/>
      <c r="I147" s="20">
        <f t="shared" si="11"/>
        <v>0</v>
      </c>
      <c r="J147" s="19"/>
      <c r="K147" s="43">
        <v>0</v>
      </c>
      <c r="L147" s="43"/>
      <c r="M147" s="44">
        <f t="shared" si="12"/>
        <v>0</v>
      </c>
      <c r="N147" s="42"/>
      <c r="O147" s="55">
        <v>0</v>
      </c>
      <c r="P147" s="55"/>
      <c r="Q147" s="56">
        <v>0</v>
      </c>
      <c r="R147" s="54"/>
      <c r="S147" s="82"/>
      <c r="T147" s="81"/>
      <c r="U147" s="82">
        <f t="shared" si="13"/>
        <v>0</v>
      </c>
      <c r="V147" s="81"/>
    </row>
    <row r="148" spans="1:22" s="5" customFormat="1" ht="12">
      <c r="A148" s="8">
        <v>60202</v>
      </c>
      <c r="B148" s="5" t="s">
        <v>87</v>
      </c>
      <c r="C148" s="22">
        <v>1000000</v>
      </c>
      <c r="D148" s="22">
        <f>+'[1]Asientos del Diario'!$E$2348</f>
        <v>999180</v>
      </c>
      <c r="E148" s="22">
        <f t="shared" si="10"/>
        <v>820</v>
      </c>
      <c r="F148" s="21"/>
      <c r="G148" s="20">
        <f>500000+266000</f>
        <v>766000</v>
      </c>
      <c r="H148" s="20">
        <f>+'[2]Asientos del Diario'!$E$2579</f>
        <v>714330</v>
      </c>
      <c r="I148" s="20">
        <f t="shared" si="11"/>
        <v>51670</v>
      </c>
      <c r="J148" s="19"/>
      <c r="K148" s="43">
        <v>2300000</v>
      </c>
      <c r="L148" s="43">
        <v>1189620</v>
      </c>
      <c r="M148" s="44">
        <f t="shared" si="12"/>
        <v>1110380</v>
      </c>
      <c r="N148" s="42"/>
      <c r="O148" s="55">
        <v>3250000</v>
      </c>
      <c r="P148" s="55">
        <v>3217200</v>
      </c>
      <c r="Q148" s="56">
        <v>32800</v>
      </c>
      <c r="R148" s="54"/>
      <c r="S148" s="82">
        <f>750000+2000000</f>
        <v>2750000</v>
      </c>
      <c r="T148" s="82">
        <f>+'[3]Asientos del Diario'!$E$2674</f>
        <v>2249580</v>
      </c>
      <c r="U148" s="82">
        <f>+S148-T148</f>
        <v>500420</v>
      </c>
      <c r="V148" s="81"/>
    </row>
    <row r="149" spans="1:22" s="5" customFormat="1" ht="12">
      <c r="A149" s="8">
        <v>60299</v>
      </c>
      <c r="B149" s="5" t="s">
        <v>88</v>
      </c>
      <c r="C149" s="22">
        <v>0</v>
      </c>
      <c r="D149" s="21"/>
      <c r="E149" s="22">
        <f t="shared" si="10"/>
        <v>0</v>
      </c>
      <c r="F149" s="21"/>
      <c r="G149" s="20">
        <v>0</v>
      </c>
      <c r="H149" s="19"/>
      <c r="I149" s="20">
        <f t="shared" si="11"/>
        <v>0</v>
      </c>
      <c r="J149" s="19"/>
      <c r="K149" s="43">
        <v>0</v>
      </c>
      <c r="L149" s="43"/>
      <c r="M149" s="44">
        <f t="shared" si="12"/>
        <v>0</v>
      </c>
      <c r="N149" s="42"/>
      <c r="O149" s="55">
        <v>0</v>
      </c>
      <c r="P149" s="55"/>
      <c r="Q149" s="56">
        <v>0</v>
      </c>
      <c r="R149" s="54"/>
      <c r="S149" s="82"/>
      <c r="T149" s="81"/>
      <c r="U149" s="82">
        <f t="shared" si="13"/>
        <v>0</v>
      </c>
      <c r="V149" s="81"/>
    </row>
    <row r="150" spans="1:22" s="5" customFormat="1" ht="12">
      <c r="A150" s="9">
        <v>603</v>
      </c>
      <c r="B150" s="7" t="s">
        <v>89</v>
      </c>
      <c r="C150" s="22"/>
      <c r="D150" s="21"/>
      <c r="E150" s="22">
        <f t="shared" si="10"/>
        <v>0</v>
      </c>
      <c r="F150" s="21"/>
      <c r="G150" s="20"/>
      <c r="H150" s="19"/>
      <c r="I150" s="20" t="s">
        <v>116</v>
      </c>
      <c r="J150" s="19"/>
      <c r="K150" s="43"/>
      <c r="L150" s="43"/>
      <c r="M150" s="44">
        <f t="shared" si="12"/>
        <v>0</v>
      </c>
      <c r="N150" s="42"/>
      <c r="O150" s="55" t="s">
        <v>116</v>
      </c>
      <c r="P150" s="55"/>
      <c r="Q150" s="56">
        <v>0</v>
      </c>
      <c r="R150" s="54"/>
      <c r="S150" s="82">
        <f>SUM(S151:S152)</f>
        <v>63000000</v>
      </c>
      <c r="T150" s="81"/>
      <c r="U150" s="82">
        <f t="shared" si="13"/>
        <v>63000000</v>
      </c>
      <c r="V150" s="81"/>
    </row>
    <row r="151" spans="1:22" s="5" customFormat="1" ht="12">
      <c r="A151" s="8">
        <v>60301</v>
      </c>
      <c r="B151" s="5" t="s">
        <v>90</v>
      </c>
      <c r="C151" s="22">
        <f>40000000+8000000</f>
        <v>48000000</v>
      </c>
      <c r="D151" s="22">
        <f>+'[1]Asientos del Diario'!$E$2361</f>
        <v>46369458.46</v>
      </c>
      <c r="E151" s="22">
        <f t="shared" si="10"/>
        <v>1630541.539999999</v>
      </c>
      <c r="F151" s="21"/>
      <c r="G151" s="20">
        <f>36091000-3000000-900000+4000000</f>
        <v>36191000</v>
      </c>
      <c r="H151" s="20">
        <f>+'[2]Asientos del Diario'!$E$2593</f>
        <v>35217896.99</v>
      </c>
      <c r="I151" s="20">
        <f t="shared" si="11"/>
        <v>973103.0099999979</v>
      </c>
      <c r="J151" s="19"/>
      <c r="K151" s="43">
        <v>49276186</v>
      </c>
      <c r="L151" s="43">
        <v>37830840.53</v>
      </c>
      <c r="M151" s="44">
        <f t="shared" si="12"/>
        <v>11445345.469999999</v>
      </c>
      <c r="N151" s="42"/>
      <c r="O151" s="55">
        <v>51584047.29</v>
      </c>
      <c r="P151" s="55">
        <v>39064478.77</v>
      </c>
      <c r="Q151" s="56">
        <v>12519568.519999996</v>
      </c>
      <c r="R151" s="54"/>
      <c r="S151" s="82">
        <f>45000000-2000000</f>
        <v>43000000</v>
      </c>
      <c r="T151" s="82">
        <f>+'[3]Asientos del Diario'!$E$2688</f>
        <v>27573749.9</v>
      </c>
      <c r="U151" s="82">
        <f t="shared" si="13"/>
        <v>15426250.100000001</v>
      </c>
      <c r="V151" s="81"/>
    </row>
    <row r="152" spans="1:22" s="5" customFormat="1" ht="12">
      <c r="A152" s="8">
        <v>60399</v>
      </c>
      <c r="B152" s="5" t="s">
        <v>127</v>
      </c>
      <c r="C152" s="22">
        <f>15000000+7100000</f>
        <v>22100000</v>
      </c>
      <c r="D152" s="22">
        <f>+'[1]Asientos del Diario'!$E$2389</f>
        <v>22049745</v>
      </c>
      <c r="E152" s="22">
        <f t="shared" si="10"/>
        <v>50255</v>
      </c>
      <c r="F152" s="21"/>
      <c r="G152" s="20">
        <f>16000000+5000000</f>
        <v>21000000</v>
      </c>
      <c r="H152" s="20">
        <f>+'[2]Asientos del Diario'!$E$2624</f>
        <v>13357577</v>
      </c>
      <c r="I152" s="20">
        <f t="shared" si="11"/>
        <v>7642423</v>
      </c>
      <c r="J152" s="19"/>
      <c r="K152" s="43">
        <v>27000000</v>
      </c>
      <c r="L152" s="43">
        <v>23219359.95</v>
      </c>
      <c r="M152" s="44">
        <f t="shared" si="12"/>
        <v>3780640.0500000007</v>
      </c>
      <c r="N152" s="42"/>
      <c r="O152" s="55">
        <v>21950000</v>
      </c>
      <c r="P152" s="55">
        <v>12429343.84</v>
      </c>
      <c r="Q152" s="56">
        <v>9520656.16</v>
      </c>
      <c r="R152" s="54"/>
      <c r="S152" s="82">
        <v>20000000</v>
      </c>
      <c r="T152" s="82">
        <f>+'[3]Asientos del Diario'!$E$2719</f>
        <v>10524531</v>
      </c>
      <c r="U152" s="82">
        <f t="shared" si="13"/>
        <v>9475469</v>
      </c>
      <c r="V152" s="81"/>
    </row>
    <row r="153" spans="1:22" s="5" customFormat="1" ht="12">
      <c r="A153" s="9">
        <v>604</v>
      </c>
      <c r="B153" s="7" t="s">
        <v>94</v>
      </c>
      <c r="C153" s="22" t="s">
        <v>116</v>
      </c>
      <c r="D153" s="21"/>
      <c r="E153" s="22">
        <v>0</v>
      </c>
      <c r="F153" s="21"/>
      <c r="G153" s="20" t="s">
        <v>116</v>
      </c>
      <c r="H153" s="19"/>
      <c r="I153" s="20" t="s">
        <v>116</v>
      </c>
      <c r="J153" s="19"/>
      <c r="K153" s="43" t="s">
        <v>116</v>
      </c>
      <c r="L153" s="43"/>
      <c r="M153" s="44" t="s">
        <v>116</v>
      </c>
      <c r="N153" s="42"/>
      <c r="O153" s="55">
        <v>0</v>
      </c>
      <c r="P153" s="55"/>
      <c r="Q153" s="56">
        <v>0</v>
      </c>
      <c r="R153" s="54"/>
      <c r="S153" s="82"/>
      <c r="T153" s="81"/>
      <c r="U153" s="82">
        <f t="shared" si="13"/>
        <v>0</v>
      </c>
      <c r="V153" s="81"/>
    </row>
    <row r="154" spans="1:22" s="5" customFormat="1" ht="12">
      <c r="A154" s="8">
        <v>60402</v>
      </c>
      <c r="B154" s="5" t="s">
        <v>91</v>
      </c>
      <c r="C154" s="22">
        <v>0</v>
      </c>
      <c r="D154" s="22"/>
      <c r="E154" s="22">
        <f t="shared" si="10"/>
        <v>0</v>
      </c>
      <c r="F154" s="21"/>
      <c r="G154" s="20">
        <v>0</v>
      </c>
      <c r="H154" s="20"/>
      <c r="I154" s="20">
        <f t="shared" si="11"/>
        <v>0</v>
      </c>
      <c r="J154" s="19"/>
      <c r="K154" s="43">
        <v>0</v>
      </c>
      <c r="L154" s="43"/>
      <c r="M154" s="44">
        <f t="shared" si="12"/>
        <v>0</v>
      </c>
      <c r="N154" s="42"/>
      <c r="O154" s="55">
        <v>0</v>
      </c>
      <c r="P154" s="55"/>
      <c r="Q154" s="56">
        <v>0</v>
      </c>
      <c r="R154" s="54"/>
      <c r="S154" s="82"/>
      <c r="T154" s="82"/>
      <c r="U154" s="82">
        <f t="shared" si="13"/>
        <v>0</v>
      </c>
      <c r="V154" s="81"/>
    </row>
    <row r="155" spans="1:22" s="5" customFormat="1" ht="12">
      <c r="A155" s="9">
        <v>606</v>
      </c>
      <c r="B155" s="7" t="s">
        <v>125</v>
      </c>
      <c r="C155" s="22"/>
      <c r="D155" s="22"/>
      <c r="E155" s="22" t="s">
        <v>116</v>
      </c>
      <c r="F155" s="21"/>
      <c r="G155" s="20"/>
      <c r="H155" s="20"/>
      <c r="I155" s="20" t="s">
        <v>116</v>
      </c>
      <c r="J155" s="19"/>
      <c r="K155" s="43"/>
      <c r="L155" s="43"/>
      <c r="M155" s="44">
        <f t="shared" si="12"/>
        <v>0</v>
      </c>
      <c r="N155" s="42"/>
      <c r="O155" s="55" t="s">
        <v>116</v>
      </c>
      <c r="P155" s="55"/>
      <c r="Q155" s="56">
        <v>300000</v>
      </c>
      <c r="R155" s="54"/>
      <c r="S155" s="82">
        <f>+S156</f>
        <v>300000</v>
      </c>
      <c r="T155" s="82"/>
      <c r="U155" s="82">
        <f t="shared" si="13"/>
        <v>300000</v>
      </c>
      <c r="V155" s="81"/>
    </row>
    <row r="156" spans="1:22" s="5" customFormat="1" ht="12">
      <c r="A156" s="8">
        <v>60601</v>
      </c>
      <c r="B156" s="5" t="s">
        <v>126</v>
      </c>
      <c r="C156" s="22">
        <v>1500000</v>
      </c>
      <c r="D156" s="22"/>
      <c r="E156" s="22">
        <f t="shared" si="10"/>
        <v>1500000</v>
      </c>
      <c r="F156" s="21"/>
      <c r="G156" s="20">
        <f>1000000+76963</f>
        <v>1076963</v>
      </c>
      <c r="H156" s="20">
        <f>+'[2]Asientos del Diario'!$E$2636</f>
        <v>76963</v>
      </c>
      <c r="I156" s="20">
        <f t="shared" si="11"/>
        <v>1000000</v>
      </c>
      <c r="J156" s="19"/>
      <c r="K156" s="43">
        <v>500000</v>
      </c>
      <c r="L156" s="43"/>
      <c r="M156" s="44">
        <f t="shared" si="12"/>
        <v>500000</v>
      </c>
      <c r="N156" s="42"/>
      <c r="O156" s="55">
        <v>300000</v>
      </c>
      <c r="P156" s="55"/>
      <c r="Q156" s="56">
        <v>300000</v>
      </c>
      <c r="R156" s="54"/>
      <c r="S156" s="82">
        <v>300000</v>
      </c>
      <c r="T156" s="82">
        <f>+'[3]Asientos del Diario'!$E$2731</f>
        <v>165000</v>
      </c>
      <c r="U156" s="82">
        <f t="shared" si="13"/>
        <v>135000</v>
      </c>
      <c r="V156" s="81"/>
    </row>
    <row r="157" spans="1:22" s="5" customFormat="1" ht="12">
      <c r="A157" s="9">
        <v>607</v>
      </c>
      <c r="B157" s="7" t="s">
        <v>162</v>
      </c>
      <c r="C157" s="22"/>
      <c r="D157" s="22"/>
      <c r="E157" s="22"/>
      <c r="F157" s="21"/>
      <c r="G157" s="20"/>
      <c r="H157" s="20"/>
      <c r="I157" s="20" t="s">
        <v>116</v>
      </c>
      <c r="J157" s="19"/>
      <c r="K157" s="43"/>
      <c r="L157" s="43"/>
      <c r="M157" s="44">
        <f t="shared" si="12"/>
        <v>0</v>
      </c>
      <c r="N157" s="42"/>
      <c r="O157" s="55" t="s">
        <v>116</v>
      </c>
      <c r="P157" s="55"/>
      <c r="Q157" s="56">
        <v>3000000</v>
      </c>
      <c r="R157" s="54"/>
      <c r="S157" s="82">
        <f>SUM(S158)</f>
        <v>2950000</v>
      </c>
      <c r="T157" s="82"/>
      <c r="U157" s="82">
        <f t="shared" si="13"/>
        <v>2950000</v>
      </c>
      <c r="V157" s="81"/>
    </row>
    <row r="158" spans="1:22" s="5" customFormat="1" ht="12.75" thickBot="1">
      <c r="A158" s="8">
        <v>60701</v>
      </c>
      <c r="B158" s="5" t="s">
        <v>163</v>
      </c>
      <c r="C158" s="22"/>
      <c r="D158" s="22"/>
      <c r="E158" s="22"/>
      <c r="F158" s="21"/>
      <c r="G158" s="20">
        <f>3000000-266000</f>
        <v>2734000</v>
      </c>
      <c r="H158" s="20">
        <f>+'[2]Asientos del Diario'!$E$2645</f>
        <v>2733999.5</v>
      </c>
      <c r="I158" s="20">
        <f t="shared" si="11"/>
        <v>0.5</v>
      </c>
      <c r="J158" s="19"/>
      <c r="K158" s="43">
        <v>2810466</v>
      </c>
      <c r="L158" s="43">
        <v>2810465.85</v>
      </c>
      <c r="M158" s="44">
        <f t="shared" si="12"/>
        <v>0.14999999990686774</v>
      </c>
      <c r="N158" s="42"/>
      <c r="O158" s="55">
        <v>3000000</v>
      </c>
      <c r="P158" s="55">
        <v>2977758.5</v>
      </c>
      <c r="Q158" s="56">
        <v>22241.5</v>
      </c>
      <c r="R158" s="54"/>
      <c r="S158" s="82">
        <v>2950000</v>
      </c>
      <c r="T158" s="82">
        <f>+'[3]Asientos del Diario'!$E$2740</f>
        <v>2949997.32</v>
      </c>
      <c r="U158" s="82">
        <f t="shared" si="13"/>
        <v>2.680000000167638</v>
      </c>
      <c r="V158" s="81"/>
    </row>
    <row r="159" spans="2:22" s="5" customFormat="1" ht="16.5" thickBot="1">
      <c r="B159" s="10" t="s">
        <v>145</v>
      </c>
      <c r="C159" s="33">
        <f>+C143+C125+C92+C36+C9</f>
        <v>5684000000</v>
      </c>
      <c r="D159" s="33">
        <f>+D143+D125+D92+D36+D9</f>
        <v>5306613196.29</v>
      </c>
      <c r="E159" s="33">
        <f>SUM(E11:E156)</f>
        <v>416390326.1400001</v>
      </c>
      <c r="F159" s="48">
        <f>+D159/C159*100</f>
        <v>93.36054180665025</v>
      </c>
      <c r="G159" s="36">
        <f>+G143+G125+G92+G36+G9</f>
        <v>5676356859</v>
      </c>
      <c r="H159" s="36">
        <f>+H143+H125+H92+H36+H9</f>
        <v>5213442431.29</v>
      </c>
      <c r="I159" s="36">
        <f>+I143+I125+I92+I36+I9</f>
        <v>462914427.7099998</v>
      </c>
      <c r="J159" s="29">
        <f>+H159/G159*100</f>
        <v>91.84486741745212</v>
      </c>
      <c r="K159" s="46">
        <f>+K143+K125+K92+K36+K9</f>
        <v>6134000000</v>
      </c>
      <c r="L159" s="46">
        <f>+L143+L125+L92+L36+L9</f>
        <v>5633589478.289999</v>
      </c>
      <c r="M159" s="46">
        <f>+M143+M125+M92+M36+M9</f>
        <v>500410521.7100001</v>
      </c>
      <c r="N159" s="46">
        <f>+L159/K159*100</f>
        <v>91.84201953521355</v>
      </c>
      <c r="O159" s="58">
        <f>+O9+O36+O92+O125+O143</f>
        <v>6172759670</v>
      </c>
      <c r="P159" s="58">
        <f>+P143+P125+P92+P36+P9</f>
        <v>5543164212.47</v>
      </c>
      <c r="Q159" s="58">
        <f>+Q143+Q125+Q92+Q36+Q9</f>
        <v>659645457.5299999</v>
      </c>
      <c r="R159" s="58">
        <f>+P159/O159*100</f>
        <v>89.80042167217569</v>
      </c>
      <c r="S159" s="58">
        <f>+S143+S125+S92+S36+S9</f>
        <v>6288000000</v>
      </c>
      <c r="T159" s="58">
        <f>+T143+T125+T92+T36+T9</f>
        <v>5277698666.69</v>
      </c>
      <c r="U159" s="58">
        <f>+U143+U125+U92+U36+U9</f>
        <v>1010301333.3100007</v>
      </c>
      <c r="V159" s="58">
        <f>+T159/S159*100</f>
        <v>83.93286683667303</v>
      </c>
    </row>
    <row r="160" ht="12.75">
      <c r="O160" t="s">
        <v>116</v>
      </c>
    </row>
    <row r="161" spans="2:15" ht="12.75">
      <c r="B161" t="s">
        <v>116</v>
      </c>
      <c r="O161" s="59" t="s">
        <v>116</v>
      </c>
    </row>
    <row r="162" spans="9:10" ht="12.75">
      <c r="I162" s="1" t="s">
        <v>116</v>
      </c>
      <c r="J162" s="47" t="s">
        <v>116</v>
      </c>
    </row>
    <row r="163" ht="12.75">
      <c r="O163" s="60" t="s">
        <v>116</v>
      </c>
    </row>
    <row r="164" spans="2:16" ht="12.75">
      <c r="B164" s="11" t="s">
        <v>156</v>
      </c>
      <c r="O164" t="s">
        <v>116</v>
      </c>
      <c r="P164" t="s">
        <v>116</v>
      </c>
    </row>
    <row r="165" ht="12.75">
      <c r="B165" s="11" t="s">
        <v>116</v>
      </c>
    </row>
  </sheetData>
  <sheetProtection/>
  <mergeCells count="5">
    <mergeCell ref="C7:F7"/>
    <mergeCell ref="G7:J7"/>
    <mergeCell ref="K7:N7"/>
    <mergeCell ref="O7:R7"/>
    <mergeCell ref="S7:V7"/>
  </mergeCells>
  <printOptions/>
  <pageMargins left="0.39" right="0.75" top="1" bottom="1" header="0" footer="0"/>
  <pageSetup horizontalDpi="600" verticalDpi="600" orientation="portrait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DEFENSORIA DE LOS HABITANTES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DEFENSORIA DE LOS HABITANTES</dc:creator>
  <cp:keywords/>
  <dc:description/>
  <cp:lastModifiedBy>Francisco</cp:lastModifiedBy>
  <cp:lastPrinted>2010-12-23T16:39:49Z</cp:lastPrinted>
  <dcterms:created xsi:type="dcterms:W3CDTF">2005-11-17T18:55:47Z</dcterms:created>
  <dcterms:modified xsi:type="dcterms:W3CDTF">2020-07-02T15:05:39Z</dcterms:modified>
  <cp:category/>
  <cp:version/>
  <cp:contentType/>
  <cp:contentStatus/>
</cp:coreProperties>
</file>