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35" windowWidth="15195" windowHeight="2970" firstSheet="1" activeTab="2"/>
  </bookViews>
  <sheets>
    <sheet name="EJECUCION PRESUP.MARZO 2018" sheetId="1" r:id="rId1"/>
    <sheet name="DETALLE DE EJECUCION POR MES" sheetId="2" r:id="rId2"/>
    <sheet name="GASTOS MES DE MARZO 2018" sheetId="3" r:id="rId3"/>
  </sheets>
  <definedNames>
    <definedName name="_xlnm.Print_Titles" localSheetId="0">'EJECUCION PRESUP.MARZO 2018'!$4:$4</definedName>
  </definedNames>
  <calcPr fullCalcOnLoad="1"/>
</workbook>
</file>

<file path=xl/sharedStrings.xml><?xml version="1.0" encoding="utf-8"?>
<sst xmlns="http://schemas.openxmlformats.org/spreadsheetml/2006/main" count="836" uniqueCount="502">
  <si>
    <t xml:space="preserve">DETALLE DEL GASTO,  EJECUCION PRESUPUESTARIA </t>
  </si>
  <si>
    <t>DEFENSORIA DE LOS HABITANTES DE LA REPUBLICA</t>
  </si>
  <si>
    <t xml:space="preserve">GRUPO </t>
  </si>
  <si>
    <t xml:space="preserve">SUB PARTIDA DE GASTOS </t>
  </si>
  <si>
    <t>Gasto Objeto</t>
  </si>
  <si>
    <t>Solicitado</t>
  </si>
  <si>
    <t>Comprometido</t>
  </si>
  <si>
    <t>PAGADO</t>
  </si>
  <si>
    <t>Pagado</t>
  </si>
  <si>
    <t>Cuota</t>
  </si>
  <si>
    <t>Cuota Actual</t>
  </si>
  <si>
    <t>Disponible Acumulado</t>
  </si>
  <si>
    <t>% EJECUCIÓN</t>
  </si>
  <si>
    <t xml:space="preserve">REMUNERACION  </t>
  </si>
  <si>
    <t>Sueldos para cargos fijos</t>
  </si>
  <si>
    <t>Suplencias</t>
  </si>
  <si>
    <t xml:space="preserve"> </t>
  </si>
  <si>
    <t>Tiempo extraordinario</t>
  </si>
  <si>
    <t xml:space="preserve">Recargo de Funciones </t>
  </si>
  <si>
    <t>Retribución por años servidos</t>
  </si>
  <si>
    <t>Restricción al ejercicio laboral</t>
  </si>
  <si>
    <t>Décimo tercer mes</t>
  </si>
  <si>
    <t>Salario escolar</t>
  </si>
  <si>
    <t>Otros incentivos salariales</t>
  </si>
  <si>
    <t>Contrib. Patronal al seguro de salud</t>
  </si>
  <si>
    <t>Contrib. Patronal al banco popular</t>
  </si>
  <si>
    <t>Contrib part. al seguro de pensiones</t>
  </si>
  <si>
    <t>Aporte part. régimen oblig. de pens.</t>
  </si>
  <si>
    <t>Aporte patronal de fondo de cap.Lab.</t>
  </si>
  <si>
    <t>Contrib. Part. otros fondos Adm.</t>
  </si>
  <si>
    <t>TOTAL REMUNERACIONES</t>
  </si>
  <si>
    <t>SERVICIOS</t>
  </si>
  <si>
    <t>Alquileres de edificios y locales</t>
  </si>
  <si>
    <t xml:space="preserve">Alquileres y Derechos de Telecomunicaciones </t>
  </si>
  <si>
    <t>Otros alquileres</t>
  </si>
  <si>
    <t>Servicios de agua y alcantarillado</t>
  </si>
  <si>
    <t>Servicios de energía eléctrica</t>
  </si>
  <si>
    <t>Servicios de Correo</t>
  </si>
  <si>
    <t>Servicios de telecomunicaciones</t>
  </si>
  <si>
    <t>Otros servicios básicos</t>
  </si>
  <si>
    <t xml:space="preserve">Información (Publicaciones) </t>
  </si>
  <si>
    <t>Impresión y encuadernación</t>
  </si>
  <si>
    <t xml:space="preserve">Transporte de Bienes </t>
  </si>
  <si>
    <t xml:space="preserve">Comisiones por Servicios Bancarios </t>
  </si>
  <si>
    <t>Servicios de Transferencia Electronica de Información</t>
  </si>
  <si>
    <t>Servicios de Desarrollo de Sistemas Informáticos</t>
  </si>
  <si>
    <t>Servicios Generales (Miscelaneos y Seguridad)</t>
  </si>
  <si>
    <t>Otros servicios de gestión y apoyo</t>
  </si>
  <si>
    <t>Transporte dentro del país</t>
  </si>
  <si>
    <t>Viáticos dentro del país</t>
  </si>
  <si>
    <t xml:space="preserve">Transporte al Exterior </t>
  </si>
  <si>
    <t>Viaticos al Exterior</t>
  </si>
  <si>
    <t>Seguros</t>
  </si>
  <si>
    <t>Actividades de capacitación</t>
  </si>
  <si>
    <t>Actividades protocolarias y sociales</t>
  </si>
  <si>
    <t>Gastos de representación</t>
  </si>
  <si>
    <t>Mantenimiento de edificios y locales</t>
  </si>
  <si>
    <t>Mant. Y reparación de maquinaria.</t>
  </si>
  <si>
    <t>Mant. Y reparación de equipos de trans.</t>
  </si>
  <si>
    <t>Mant. Equipo de Comunicación</t>
  </si>
  <si>
    <t>Mant. Equipo y Mob de Oficina</t>
  </si>
  <si>
    <t>Mant. Y rep de equipo de computo</t>
  </si>
  <si>
    <t>Mant. Y Rep. De otros Equipos</t>
  </si>
  <si>
    <t>Otros Impuestos (Marchamos)</t>
  </si>
  <si>
    <t>Deducibles(Accidentes)</t>
  </si>
  <si>
    <t>TOTAL SERVICIOS</t>
  </si>
  <si>
    <t xml:space="preserve">MATERIALES Y SUMINISTROS </t>
  </si>
  <si>
    <t>Combustibles y lubricantes</t>
  </si>
  <si>
    <t>Productos farmacéuticos y medicinales</t>
  </si>
  <si>
    <t>Tintas, pinturas y diluyentes</t>
  </si>
  <si>
    <t>Otros Productos Quimicos y Conexos</t>
  </si>
  <si>
    <t>Productos Agroforestales</t>
  </si>
  <si>
    <t>Alimentos y bebidas</t>
  </si>
  <si>
    <t>Materiales y productos metálicos</t>
  </si>
  <si>
    <t>Mat. Y Prod. Minerales y Asfalticos</t>
  </si>
  <si>
    <t>Madera y sus Derivados</t>
  </si>
  <si>
    <t>Materiales productos electrónicos, telefonicos y computo</t>
  </si>
  <si>
    <t>Materiales y productos de vidrio</t>
  </si>
  <si>
    <t>Materiales y productos de plástico</t>
  </si>
  <si>
    <t>Otros Mat. y productos de uso en construc. y mantenim.</t>
  </si>
  <si>
    <t>Repuestos y accesorios</t>
  </si>
  <si>
    <t>Útiles, materiales de oficina y computo</t>
  </si>
  <si>
    <t>Útiles, materiales medico hospitalario</t>
  </si>
  <si>
    <t>Productos de papel, cartón e impresos</t>
  </si>
  <si>
    <t>Textiles y vestuario</t>
  </si>
  <si>
    <t>Útiles y materiales de limpieza</t>
  </si>
  <si>
    <t>Útiles y materiales de cocina y comedor</t>
  </si>
  <si>
    <t xml:space="preserve">Otros Utiles y Materiales </t>
  </si>
  <si>
    <t>TOTAL MATERIALES Y SUMINISTROS</t>
  </si>
  <si>
    <t>Equipo de Transporte</t>
  </si>
  <si>
    <t>Equipo de Comunicación</t>
  </si>
  <si>
    <t xml:space="preserve">BIENES DURADEROS </t>
  </si>
  <si>
    <t>Equipo Mobiliario de Oficina</t>
  </si>
  <si>
    <t>Equipo y programas de computo</t>
  </si>
  <si>
    <t>Equipo sanitario, de laboratorio e investigación</t>
  </si>
  <si>
    <t>Bienes Intangibles (Licencias)</t>
  </si>
  <si>
    <t>TOTAL BIENES DURADEROS</t>
  </si>
  <si>
    <t xml:space="preserve">TRANSFERENCIAS </t>
  </si>
  <si>
    <t>Transferencias Corrientes a C.C.S.S (Seguro Pensiones)</t>
  </si>
  <si>
    <t>Transferencias Corrientes a C.C.S.S (Seguro Salud)</t>
  </si>
  <si>
    <t>Transferencias Corrientes a U.C.R</t>
  </si>
  <si>
    <t>Transferencias Corrientes a CONARE</t>
  </si>
  <si>
    <t>Becas a terceras personas</t>
  </si>
  <si>
    <t xml:space="preserve">Prestaciones Legales </t>
  </si>
  <si>
    <t>Otras prestaciones a personas (Incapacidades)</t>
  </si>
  <si>
    <t>Indemnizaciones</t>
  </si>
  <si>
    <t>TOTAL TRANSFERENCIAS</t>
  </si>
  <si>
    <t>EJECUCIÓN GLOBAL</t>
  </si>
  <si>
    <t xml:space="preserve">  </t>
  </si>
  <si>
    <t>Herramientas e instrumentos</t>
  </si>
  <si>
    <t>Equipo diverso</t>
  </si>
  <si>
    <t>Publicidad y Propaganda</t>
  </si>
  <si>
    <t>Utiles y Materiales de Resguardo y Seguridad</t>
  </si>
  <si>
    <t>PRESUPUESTO ACTUAL</t>
  </si>
  <si>
    <t>Multas</t>
  </si>
  <si>
    <t>Servicios de Ingenieria</t>
  </si>
  <si>
    <t>TRANSF. CORRIENTES A ORG. INT.</t>
  </si>
  <si>
    <t>PRESUPUESTO REAL</t>
  </si>
  <si>
    <t>Edificios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</si>
  <si>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</si>
  <si>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</si>
  <si>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</si>
  <si>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</si>
  <si>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</si>
  <si>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</si>
  <si>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</si>
  <si>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</si>
  <si>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</si>
  <si>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</si>
  <si>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</si>
  <si>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</si>
  <si>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</t>
  </si>
  <si>
    <t>REMUNERACIONES</t>
  </si>
  <si>
    <t>001</t>
  </si>
  <si>
    <t xml:space="preserve">REMUNERACIONES BASICAS </t>
  </si>
  <si>
    <t>SUELDOS PARA CARGOS FIJOS</t>
  </si>
  <si>
    <t>SERVICIOS ESPECIALES</t>
  </si>
  <si>
    <t>SUPLENCIAS</t>
  </si>
  <si>
    <t>002</t>
  </si>
  <si>
    <t>REMUNERACIONES EVENTUALES</t>
  </si>
  <si>
    <t>TIEMPO EXTRAORDINARIO</t>
  </si>
  <si>
    <t>RECARGO DE FUNCIONES</t>
  </si>
  <si>
    <t>DISPONIBILIDAD LABORAL</t>
  </si>
  <si>
    <t>003</t>
  </si>
  <si>
    <t>INCENTIVOS SALARIALES</t>
  </si>
  <si>
    <t>RETRIBUCION POR AÑOS SERVIDOS</t>
  </si>
  <si>
    <t>RESTRICCION AL EJERCICIO LIBERAL  DE L A PROFESION</t>
  </si>
  <si>
    <t>DECIMO TERCER MES</t>
  </si>
  <si>
    <t>SALARIO ESCOLAR</t>
  </si>
  <si>
    <t>OTROS INCENTIVOS SALARIALES</t>
  </si>
  <si>
    <t>004</t>
  </si>
  <si>
    <t>CONTRIBUCIONES PATRONALES AL DESARROLLO Y LA SEGURIDAD SOCIAL</t>
  </si>
  <si>
    <t>CONTRIBUCION PATRONAL AL SEGURO DE SALUD DE LA C.C.S.S. 9.25%</t>
  </si>
  <si>
    <t>CONTRIBUCION PATRONAL AL INST. MIXTO DE AYUDA SOCIAL</t>
  </si>
  <si>
    <t>CONTRIBUCION PATRONAL AL BANCO POPULAR Y DE DESARROLLO COMUNAL .05%</t>
  </si>
  <si>
    <t>005</t>
  </si>
  <si>
    <t>CONTRIBUCION PATRON. FOND. DE PENSIONES Y OTROS FONDOS DE CAPITAL</t>
  </si>
  <si>
    <t>APORTE PATR. REGIMEN OBLIG. DE PENSIONES COMPLEMENTARIAS 1.5%</t>
  </si>
  <si>
    <t>APORTE PATRONAL DE FONDO DE CAPITALIZACION LABORAL 3%</t>
  </si>
  <si>
    <t>099</t>
  </si>
  <si>
    <t>REMUNERACIONES DIVERSAS</t>
  </si>
  <si>
    <t>GASTOS DE REPRESENTACION PERSONAL</t>
  </si>
  <si>
    <t>01</t>
  </si>
  <si>
    <t xml:space="preserve">SERVICIOS                </t>
  </si>
  <si>
    <t>ALQUILERES</t>
  </si>
  <si>
    <t>ALQUILERES DE EDIFICIOS, LOCALES, Y TERRENOS</t>
  </si>
  <si>
    <t>ALQUILERES DE MAQUINARIA, EQUIPO Y MOBILIARIO</t>
  </si>
  <si>
    <t>ALQUILER DE EQUIPO DE COMPUTO</t>
  </si>
  <si>
    <t>ALQUILER Y DERECHOS PARA TELECOMUNICACIONES</t>
  </si>
  <si>
    <t>OTROS ALQUILERES</t>
  </si>
  <si>
    <t>SERVICIOS BASICOS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</si>
  <si>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</si>
  <si>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</si>
  <si>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</si>
  <si>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</si>
  <si>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</si>
  <si>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SERVICIOS COMERCIALES Y FINANCIEROS</t>
  </si>
  <si>
    <t>INFORMACION</t>
  </si>
  <si>
    <t>PUBLICIDAD Y PROPAGANDA</t>
  </si>
  <si>
    <t>IMPRESIÓN, ENCUADERNACION, Y OTROS</t>
  </si>
  <si>
    <t>TRANSPORTE DE BIENES</t>
  </si>
  <si>
    <t>COMISIONES Y GASTOS POR SERVICIOS</t>
  </si>
  <si>
    <t>SERVICIO DE TRANSFERENCIA ELECTRONICA DE INFORMACION</t>
  </si>
  <si>
    <t>SERVICIO DE GESTION Y APOYO</t>
  </si>
  <si>
    <t>SERVICIOS MEDICOS Y DE LABORATORIO</t>
  </si>
  <si>
    <t>SERVICIOS JURIDICOS</t>
  </si>
  <si>
    <t>SERVICIOS DE INGENIERIA</t>
  </si>
  <si>
    <t>SERVICIOS EN CIENCIAS ECONOMICAS Y SOCIALES</t>
  </si>
  <si>
    <t>SERVICIOS DE DESARROLLO DE SISTEMAS INFORMATICOS</t>
  </si>
  <si>
    <t>SERVICIOS GENERALES</t>
  </si>
  <si>
    <t>OTROS SERVICIOS DE GESTION Y APOYO</t>
  </si>
  <si>
    <t>GASTO DE VIAJE Y DE TRANSPORTE</t>
  </si>
  <si>
    <t>TRANSPORTE DENTRO DEL PAIS</t>
  </si>
  <si>
    <t>VIATICOS DENTRO DEL PAIS</t>
  </si>
  <si>
    <t>TRANSPORTE EN EL EXTERIOR</t>
  </si>
  <si>
    <t>VIATICOS EN EL EXTERIOR</t>
  </si>
  <si>
    <t>SEGUROS, REASEGUROS Y OTRAS OBLIGACIONES</t>
  </si>
  <si>
    <t>SEGUROS</t>
  </si>
  <si>
    <t>CAPACITACION Y PROTOCOLO</t>
  </si>
  <si>
    <t>ACTIVIDADES DE CAPACITACION</t>
  </si>
  <si>
    <t>ACTIVIDADES PROTOCOLARIAS Y SOCIALES</t>
  </si>
  <si>
    <t>GASTOS DE REPRESENTACION INST.</t>
  </si>
  <si>
    <t>MANTENIMIENTO Y REPARACION</t>
  </si>
  <si>
    <t>MANTENIMIENTO DE EDIFICIOS Y LOCALES</t>
  </si>
  <si>
    <t>MANTENIMIENTO Y REPARACION DE MAQUINARIA Y EQUIPO DE PRODUCCION</t>
  </si>
  <si>
    <t>MANTENIMIENTO Y REPARACION DE EQUIPO DE TRANSPORTE</t>
  </si>
  <si>
    <t xml:space="preserve">MANTENIMIENTO Y REPARACION DE EQUIPO DE COMUNIICACION </t>
  </si>
  <si>
    <t>MANTENIMIENTO Y REPARACION DE EQUIPO Y MOBILIARIO DE OFICINA</t>
  </si>
  <si>
    <t>MANT. Y REP. DE EQUIPO DE COMPUTO Y SISTEMAS DE INFORMATICA</t>
  </si>
  <si>
    <t>MANTENIMIENTO Y REPARACION DE OTROS EQUIPOS</t>
  </si>
  <si>
    <t>IMPUESTOS</t>
  </si>
  <si>
    <t>OTROS IMPUESTOS</t>
  </si>
  <si>
    <t>SERVICIOS DIVERSOS</t>
  </si>
  <si>
    <t>DEDUCIBLES</t>
  </si>
  <si>
    <t>INTERESES MORATORIOS Y MULTAS</t>
  </si>
  <si>
    <t>OTROS SERVICIOS NO ESPECIFICADOS</t>
  </si>
  <si>
    <t>02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</si>
  <si>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</si>
  <si>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</si>
  <si>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</si>
  <si>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</si>
  <si>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</si>
  <si>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</t>
  </si>
  <si>
    <t>ALIMENTOS Y PRODUCTOS AGROPECUARIOS</t>
  </si>
  <si>
    <t>PRODUCTOS PECUARIOS Y OTRAS ESPECIES</t>
  </si>
  <si>
    <t>PRODUCTOS AGROFORESTALES</t>
  </si>
  <si>
    <t>ALIMENTOS Y BEBIDAS</t>
  </si>
  <si>
    <t>MAT. Y PROD. DE USO EN LA CONSTRUCCION Y MANTENIMIENTO</t>
  </si>
  <si>
    <t>MATERIALES Y PRODUCTOS METALICOS</t>
  </si>
  <si>
    <t>MATRIALES Y PRODUCTOS MINERALES Y ASFALTICOS</t>
  </si>
  <si>
    <t>MADERA Y SUS DERIVADOS</t>
  </si>
  <si>
    <t>MATERIALES Y PRODUCTOS ELECTRICOS, TELEFONICOS DE COMPUTO</t>
  </si>
  <si>
    <t>MATERIALES Y PRODUCTOS DE VIDRIO</t>
  </si>
  <si>
    <t>MATERIALES Y PRODUCTOS DE PLASTICO</t>
  </si>
  <si>
    <t>OTROS MATERIALES Y PRODUCTOS DE USO EN CONSTRUCCION</t>
  </si>
  <si>
    <t>HERRAMIENTAS, REPUESTOS Y ACCESORIOS</t>
  </si>
  <si>
    <t>HERRAMIENTAS E INSTRUMENTOS</t>
  </si>
  <si>
    <t>REPUESTOS Y ACCESORIOS</t>
  </si>
  <si>
    <t>UTILES, MATERIALES Y SUMINISTROS DIVERSOS</t>
  </si>
  <si>
    <t>UTILES, MATERIALES DE OFICINA Y COMPUTO</t>
  </si>
  <si>
    <t>UTILES, MATERIALES MEDICO, HOSPITALARIO Y DE INVENTARIO</t>
  </si>
  <si>
    <t>PRODUCTOS DE PAPEL, CARTON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</si>
  <si>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</si>
  <si>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</si>
  <si>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</si>
  <si>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</si>
  <si>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UTILES, MATERIALES Y SUMINISTROS</t>
  </si>
  <si>
    <t>05</t>
  </si>
  <si>
    <t>BIENES DURADEROS</t>
  </si>
  <si>
    <t>MAQUINARIA, EQUIPO Y MOBILIARIO</t>
  </si>
  <si>
    <t>EQUIPO E TRANSPORTE</t>
  </si>
  <si>
    <t>EQUIPO DE COMUNICACIÓN</t>
  </si>
  <si>
    <t>EQUIPO Y MOBILIARIO DE OFICINA</t>
  </si>
  <si>
    <t>EQUIPOS Y PROGRAMAS DE COMPUTO</t>
  </si>
  <si>
    <t>EQUIPO SANITARIO, DE  LABATORIO E INVESTIG.</t>
  </si>
  <si>
    <t>EQUIPO Y MOBILIARIO EDUCACIONAL, DEP. Y RECREATIVO</t>
  </si>
  <si>
    <t>MAQUINARIA Y EQUIPO DIVERSO</t>
  </si>
  <si>
    <t>CONSTRUCCIONES, ADICIONES Y MEJORAS</t>
  </si>
  <si>
    <t>EDIFICIOS</t>
  </si>
  <si>
    <t xml:space="preserve">INSTALACIONES </t>
  </si>
  <si>
    <t>OTRAS CONSTRUCCIONES, ADICIONES Y MEJORAS</t>
  </si>
  <si>
    <t>BIENES DURADEROS DIVERSOS</t>
  </si>
  <si>
    <t>BIENES INTANGIBLES</t>
  </si>
  <si>
    <t>OTROS BIENES DURADEROS</t>
  </si>
  <si>
    <t>06</t>
  </si>
  <si>
    <t>TRANSFERENCIAS CORRIENTES</t>
  </si>
  <si>
    <t>TRANSFERENCIAS CORRIENTES AL SECTOR PUBLICO</t>
  </si>
  <si>
    <t>TRANSFERENCIAS CORRIENTES A INS. DESCEN</t>
  </si>
  <si>
    <t>TRANSFERENCIAS CORRIENTES A PERSONAS</t>
  </si>
  <si>
    <t>BECAS A FUNCIONARIOS</t>
  </si>
  <si>
    <t>BECAS A TERCERAS PERSONAS</t>
  </si>
  <si>
    <t>OTRAS TRANSFERENCIAS A PERSONAS</t>
  </si>
  <si>
    <t>PRESTACIONES</t>
  </si>
  <si>
    <t>PRESTACIONE LEGALES</t>
  </si>
  <si>
    <t>OTRAS PRESTACIONES A TERCERAS PERSONAS</t>
  </si>
  <si>
    <t>TRANSF.CORR. A ENTIDADES PRIV. SIN FINES DE LUCRO</t>
  </si>
  <si>
    <t>TRANSFERENCIAS CORRIENTES A FUNDACIONES</t>
  </si>
  <si>
    <t>OTRAS TRANSFERENCIAS CORRIENTES AL SECTOR PRIVADO</t>
  </si>
  <si>
    <t>INDEMNIZACIONES</t>
  </si>
  <si>
    <t>CONTRIB. PATR. AL SEGURO DE PENSIONES DE LA C.C.S.S. 5.08%</t>
  </si>
  <si>
    <t>CONTRIB. PATR. OTROS FDOS ADMINIST. POR ENTES PRIVADOS  ASOFUNDE 5%</t>
  </si>
  <si>
    <t>Servicios Médicos y de Laboratorio</t>
  </si>
  <si>
    <t>INSTALACIONES</t>
  </si>
  <si>
    <t>Servcios en Ciencias Económicas y Sociales</t>
  </si>
  <si>
    <t xml:space="preserve"> -     </t>
  </si>
  <si>
    <t>CARGOS POR MES PROGRAMA 808 DEFENSORIA DE LOS HABITANTES-2018</t>
  </si>
  <si>
    <t>TRANSFERENCIAS AL EXTERIOR</t>
  </si>
  <si>
    <t>TRANSFERENCIAS CORRIENTES  A ORGANISMOS INTERNACIONALES</t>
  </si>
  <si>
    <t>TOTAL PRESUPUESTO ORDINARIO  2018</t>
  </si>
  <si>
    <t>DEFENSORIA DE LOS HABITANTES</t>
  </si>
  <si>
    <t>Presupuesto Ordinario</t>
  </si>
  <si>
    <t>DECRETO H-002</t>
  </si>
  <si>
    <t>DECRETO H-003</t>
  </si>
  <si>
    <t>TOTAL INGRESOS RECIBIDOS AL 28 DE FEBRERO DEL 2018</t>
  </si>
  <si>
    <t>AL 31 DE MARZO DEL 2018</t>
  </si>
  <si>
    <t>Informe de Gastos mes de MARZO 2018</t>
  </si>
  <si>
    <t>TRANSF. BANCO 6141</t>
  </si>
  <si>
    <t>PRESUPUESTO ORDINARIO</t>
  </si>
  <si>
    <t xml:space="preserve">JUANITA LEE CERDAS </t>
  </si>
  <si>
    <t>REINTEGRO CAJA CHICA FONDO DE TESORERIA NUMERO 1265-18</t>
  </si>
  <si>
    <t>TRANSF. BANCO 23625231</t>
  </si>
  <si>
    <t>Rafael Pérez Díaz</t>
  </si>
  <si>
    <t>REALIZAR TRABAJOS DE MANTENIMIENTOS DE EDIFICIOS ES SEDE REG. CDAD NELLY</t>
  </si>
  <si>
    <t>TRANSF. BANCO 23625650</t>
  </si>
  <si>
    <t xml:space="preserve">Luis Gmo. Quesada García </t>
  </si>
  <si>
    <t>TRASLADO FUNCIONARIO PROTECCION ESPECIAL</t>
  </si>
  <si>
    <t>TRANSF. BANCO 23625985</t>
  </si>
  <si>
    <t>VIVIAN MEDINA JIMENEZ</t>
  </si>
  <si>
    <t>TRANSF. BANCO 23793749</t>
  </si>
  <si>
    <t>Alexander Chacón Valverde</t>
  </si>
  <si>
    <t>PARTICIPAR EN ASAMBLEA ANUAL FIO Y REUNION RED GHANRI PANAMA 14-16 MARZO 2018</t>
  </si>
  <si>
    <t>TRANSF. BANCO 23796920</t>
  </si>
  <si>
    <t xml:space="preserve">Kathya Rodríguez Araica </t>
  </si>
  <si>
    <t xml:space="preserve">PARTICIPA EN REUNION DE RED DE NIÑEZ Y ADOLECENCIA DE LA FIO PANAMA </t>
  </si>
  <si>
    <t>TRANSF. BANCO 23797194</t>
  </si>
  <si>
    <t xml:space="preserve">Ahmed Tabash Blanco </t>
  </si>
  <si>
    <t>PARTICIPAR EN ASAMBLEA ANUAL FIO  PANAMA 14-16 MARZO 2018</t>
  </si>
  <si>
    <t>TRANSF. BANCO 24156437</t>
  </si>
  <si>
    <t xml:space="preserve">Marvin Fernández Ramírez </t>
  </si>
  <si>
    <t>TRASLADO FUNCIONARIA MARJORIE HERRERA , ALVARO PANIAGUA</t>
  </si>
  <si>
    <t>TRANSF. BANCO 24278767</t>
  </si>
  <si>
    <t xml:space="preserve">Róger Víquez Gairaud </t>
  </si>
  <si>
    <t>INSPECCION CENTTRO INSTITUCIONAL OIJ, FP DE LA REGION Y LA POLICIA MUNCIPAL</t>
  </si>
  <si>
    <t>TRANSF. BANCO 6142</t>
  </si>
  <si>
    <t xml:space="preserve">KAREN ROMÁN GUERRERO </t>
  </si>
  <si>
    <t>REINTEGRO CAJA CHICA FONDO DE PROVEEDURIA NUMERO1270-18</t>
  </si>
  <si>
    <t>TRANSF. BANCO 24279223</t>
  </si>
  <si>
    <t xml:space="preserve">K. Patricia Montero Villalobos </t>
  </si>
  <si>
    <t>TRANSF. BANCO 24279663</t>
  </si>
  <si>
    <t xml:space="preserve">Lorna  Elizondo Cubero </t>
  </si>
  <si>
    <t>TRANSF. BANCO 24280124</t>
  </si>
  <si>
    <t>MARVIN ALPIZAR BLANCO</t>
  </si>
  <si>
    <t>TRANSF. BANCO 24280604</t>
  </si>
  <si>
    <t>ROBERTO DE PRADO LIZANO</t>
  </si>
  <si>
    <t>TRANSF. BANCO 1782667</t>
  </si>
  <si>
    <t>BANCO NACIONAL DE COSTA RICA</t>
  </si>
  <si>
    <t>Recarga  Automática Tarjeta Quick Pass</t>
  </si>
  <si>
    <t>TRANSF. BANCO 6143</t>
  </si>
  <si>
    <t>REINTEGRO CAJA CHICA FONDO DE TESORERIA NUMERO 1272-18</t>
  </si>
  <si>
    <t>TRANSF. BANCO 24581417</t>
  </si>
  <si>
    <t xml:space="preserve">Julio Hernández Ramírez </t>
  </si>
  <si>
    <t>TRASLADO DE FUNCIONARIA DIRECCION DE REGIONALES CAROLINA RAMIREZ RAMIREZ</t>
  </si>
  <si>
    <t>TRANSF. BANCO 24581049</t>
  </si>
  <si>
    <t xml:space="preserve">Carolina Ramírez Ramírez </t>
  </si>
  <si>
    <t>APOYAR SEDE REGIONAL ACTIVIDAD DEFENSORIA Y MI COMUNIDAD</t>
  </si>
  <si>
    <t>TRANSF. BANCO 24749206</t>
  </si>
  <si>
    <t>Jerhyn Varela Vargas</t>
  </si>
  <si>
    <t xml:space="preserve">CAPACITACION SOBRE ACCESO A LA JUSTICIA DE LOS MIGRANTES </t>
  </si>
  <si>
    <t>TRANSF. BANCO24749770</t>
  </si>
  <si>
    <t xml:space="preserve">Alexander Chacón Valverde </t>
  </si>
  <si>
    <t xml:space="preserve">PAGO GASTOS DE TRASLADOS </t>
  </si>
  <si>
    <t>TRANSF. BANCO 24749402</t>
  </si>
  <si>
    <t xml:space="preserve">Federico Monge Aguilar </t>
  </si>
  <si>
    <t xml:space="preserve">REINTEGRO GASTOS DE CAPACITACION  ARMONIA INTERCONFESIONAL DE LIDERES ESPIRITUALES INDIGENAS </t>
  </si>
  <si>
    <t>TRANSF. BANCO 6144</t>
  </si>
  <si>
    <t>MAURICIO MEDRANO GOEBEL</t>
  </si>
  <si>
    <t>ADELANTO GIRA A LIMON 02,03/04/2018 SEGUIMIENTO DE INVESTIGACION DE OFICIO</t>
  </si>
  <si>
    <t>SPMPO-028-2018 CTA #TRANF.CTES</t>
  </si>
  <si>
    <t>JOHEL ALVARADO FERNANDEZ</t>
  </si>
  <si>
    <t>Defensoría Habitantes, SPMPO N°028,  Ayuda Económica Estudiantes Colegios Técnicos Profesionales (6 días)16-28/02/2018  Reserva 100027  Reg.103-808-60202 (Acuerdo 1736 11/12/12)</t>
  </si>
  <si>
    <t>KARLA CORDERO JIMENEZ</t>
  </si>
  <si>
    <t>Defensoría Habitantes, SPMPO N°028,  Ayuda Económica Estudiantes Colegios Técnicos Profesionales (9 días)16-28/02/2018  Reserva 100027  Reg.103-808-60202 (Acuerdo 1736 11/12/12)</t>
  </si>
  <si>
    <t>SEGURIDAD Y VIGILANCIA SEVIN LIMITADA</t>
  </si>
  <si>
    <t>Defensoría Habitantes, SPMPO N°028, MERLINK Serv.Seguridad y Vigilancia Ofic.Ctl.DHR ENE-18  OP.15023/SP.200012  Reg.103-808-10406 ¢4,968,958.40 (2%Ret.¢99,379.16)</t>
  </si>
  <si>
    <t>CORPORACION MEXIN IMPERIO LIMITADA</t>
  </si>
  <si>
    <t>Defensoría Habitantes, SPMPO N°028, Monitoreo y Resp. Armada Alarma Ofic.Reg.Cdad.Neilly FEB-18  Fact.Gob.068-18  OP.15022/SP.200012  Reg.103-808-10406</t>
  </si>
  <si>
    <t>DOCUMENT MANAGEMENT SOLUTION DMS SOCIEDAD DE RESPO</t>
  </si>
  <si>
    <t>Defensoría Habitantes, SPMPO Nº028, Serv.Custodia y Adm.Documentos FEB-18  Fact.Gob.093-18  OP.15026/SP.200012  Reg.103-808-10406</t>
  </si>
  <si>
    <t>MEI R L J LIBERIA SOCIEDAD ANONIMA</t>
  </si>
  <si>
    <t>Defensoría Habitantes, SPMPO N°028, Alquiler Local Ofic.Reg.Liberia ENE-18  Fact.Gob.110-18   OP.15004/SP.200003  Reg.103-808-10101 ¢809,570 (2%Ret.¢16,191.40)</t>
  </si>
  <si>
    <t>SOLUCIONES EN REPUESTOS S. A.</t>
  </si>
  <si>
    <t>Defensoría Habitantes, SPMPO N°028, Alquiler Estacionam. DH-26 Ofic.Reg.Liberia FEB-18  Fact.Gob.111-18  OP.15002/SP.200003  Reg.103-808-10101</t>
  </si>
  <si>
    <t>INSTITUTO COSTARRICENSE DE ELECTRICIDAD</t>
  </si>
  <si>
    <t>Defensoría Habitantes, SPMPO N°028, Serv.Electricidad Ofic.Reg.Liberia FEB-18  Fact.Gob.112-18  OP.15010/SP.200005  Reg.103-808-10202 (Vence 16/03/18 NISE 667461)</t>
  </si>
  <si>
    <t>SPMPO-029-2018 CTA #TRANF.CTES</t>
  </si>
  <si>
    <t>MINISTERIO DE HACIENDA</t>
  </si>
  <si>
    <t>Defensoría Habitantes, SPMPO Nº029, Pago Retención 2% Impto. s/Renta FEB-18 (Vence 15-Mar-18)</t>
  </si>
  <si>
    <t>SPMPO-030-2018 CTA #TRANF.CTES</t>
  </si>
  <si>
    <t>SOAGUI S A</t>
  </si>
  <si>
    <t>Defensoría Habitantes, SPMPO N°030, Alquiler Local Ofic.Reg.Ptnas 22/01/18-22/02/18  Fact.Gob.113-18  OP.15005/SP.200003  Reg.103-808-10101</t>
  </si>
  <si>
    <t>CAROLINA CARAZO MOHS</t>
  </si>
  <si>
    <t>Defensoría Habitantes, SPMPO N°030, Alquiler Local Ofic.Reg.Limón FEB-18  Fact.Gob.114-18  OP.15001/SP.200003  Reg.103-808-10101 ¢770,000 (2%Ret.¢15,400)</t>
  </si>
  <si>
    <t>Defensoría Habitantes, SPMPO N°030, Serv.Tels ENE-17  Fact.Gob.116-18  OP.15014/SP.200007  Reg.103-808-10204 ¢3,019,001 (2%Ret.¢60,380)</t>
  </si>
  <si>
    <t>Defensoría Habitantes, SPMPO N°030, Serv.Tels ENE-17  Fact.Gob.117-18  OP.15014/SP.200007  Reg.103-808-10204 ¢155,578 (2%Ret.¢3,111.55)</t>
  </si>
  <si>
    <t>Defensoría Habitantes, SPMPO N°030, Serv.Tels ENE-17  Fact.Gob.118-18  OP.15014/SP.200007  Reg.103-808-10204 ¢180,579 (2%Ret.¢3,691.60)</t>
  </si>
  <si>
    <t>CALLMYWAY N Y SOCIEDAD ANONIMA</t>
  </si>
  <si>
    <t>Defensoría Habitantes, SPMPO N°030, MERLINK Serv.Hosp.Telefonía IP Hospedado en la Nube (Alq) FEB-18  OP.15015/SP.200007  Reg.103-808-10204 ¢500,000 (2%Ret.¢10,000)</t>
  </si>
  <si>
    <t>Defensoría Habitantes, SPMPO N°030, MERLINK Serv.Hosp.Telefonía IP Hospedado en la Nube (Tel) FEB-18  OP.15015/SP.200007  Reg.103-808-10204 ¢219,250.33 (2%Ret.¢4,385)</t>
  </si>
  <si>
    <t>SERVICIOS NITIDOS PROFESIONALES (SNP) S A</t>
  </si>
  <si>
    <t>Defensoría Habitantes, SPMPO Nº030, MERLINK Serv.Limpieza Oficinas DHR ENE-18  OP.15024/SP.200012  Reg.103-808-10406 ¢2,916,339.60 (2%Ret.¢58,326.79)</t>
  </si>
  <si>
    <t>MARVIN GERARDO ALPIZAR BLANCO</t>
  </si>
  <si>
    <t>Defensoría Habitantes, SPMPO N°030, VIÁTICOS Pago Gira Nicoya 15/02/18  Res.100015  Reg.103-808-10502</t>
  </si>
  <si>
    <t>Defensoría Habitantes, SPMPO N°030, VIÁTICOS Pago Gira San José 13/02/18  Res.100015  Reg.103-808-10502</t>
  </si>
  <si>
    <t>VICTOR ROJAS GONZALEZ</t>
  </si>
  <si>
    <t>Defensoría Habitantes, SPMPO N°030, VIÁTICOS Pago Gira Siquirres 27/02/18  Res.100015  Reg.103-808-10502</t>
  </si>
  <si>
    <t>SPMPO-031-2018 CTA #TRANF.CTES</t>
  </si>
  <si>
    <t>Defensoría Habitantes, SPMPO Nº031, Reintegro Fdo.Trabajo-2018 DHR  Res.100028  Reg.103-808-10304</t>
  </si>
  <si>
    <t>Defensoría Habitantes, SPMPO Nº031, Reintegro Fdo.Trabajo-2018 DHR  Res.100014  Reg.103-808-10501</t>
  </si>
  <si>
    <t>Defensoría Habitantes, SPMPO Nº031, Reintegro Fdo.Trabajo-2018 DHR  Res.100015  Reg.103-808-10502</t>
  </si>
  <si>
    <t>Defensoría Habitantes, SPMPO Nº031, Reintegro Fdo.Trabajo-2018 DHR  Res.100030  Reg.103-808-10504</t>
  </si>
  <si>
    <t>Defensoría Habitantes, SPMPO Nº031, Reintegro Fdo.Trabajo-2018 DHR  Res.100031  Reg.103-808-10701</t>
  </si>
  <si>
    <t>Defensoría Habitantes, SPMPO Nº031, Reintegro Fdo.Trabajo-2018 DHR  Res.100032  Reg.103-808-10702</t>
  </si>
  <si>
    <t>Defensoría Habitantes, SPMPO Nº031, Reintegro Fdo.Trabajo-2018 DHR  Res.100016 ¢6,900 y Res.100033 ¢19,100  Reg.103-808-10805</t>
  </si>
  <si>
    <t>Defensoría Habitantes, SPMPO Nº031, Reintegro Fdo.Trabajo-2018 DHR  Res.100034  Reg.103-808-10805</t>
  </si>
  <si>
    <t>Defensoría Habitantes, SPMPO Nº031, Reintegro Fdo.Trabajo-2018 DHR  Res.100035  Reg.103-808-10807</t>
  </si>
  <si>
    <t>Defensoría Habitantes, SPMPO Nº031, Reintegro Fdo.Trabajo-2018 DHR  Res.100036  Reg.103-808-20301</t>
  </si>
  <si>
    <t>Defensoría Habitantes, SPMPO Nº031, Reintegro Fdo.Trabajo-2018 DHR  Res.100020 ¢18,093.83 y Res.100037 ¢38,952.56  Reg.103-808-20304</t>
  </si>
  <si>
    <t>Defensoría Habitantes, SPMPO Nº031, Reintegro Fdo.Trabajo-2018 DHR  Res.100038  Reg.103-808-20399</t>
  </si>
  <si>
    <t>Defensoría Habitantes, SPMPO Nº031, Reintegro Fdo.Trabajo-2018 DHR  Res.100039  Reg.103-808-20401</t>
  </si>
  <si>
    <t>Defensoría Habitantes, SPMPO Nº031, Reintegro Fdo.Trabajo-2018 DHR  Res.100040  Reg.103-808-29901</t>
  </si>
  <si>
    <t>Defensoría Habitantes, SPMPO Nº031, Reintegro Fdo.Trabajo-2018 DHR  Res.100041  Reg.103-808-29905</t>
  </si>
  <si>
    <t>SPMPO-032-2018 CTA #TRANF.CTES</t>
  </si>
  <si>
    <t>CONTROLES VIDEO TECNICOS DE COSTA RICA S A</t>
  </si>
  <si>
    <t>Defensoría Habitantes, SPMPO Nº032, MERLINK Serv.Monitoreo Noticias FEB-18  OP.15027/SP.200013  Reg.103-808-10499</t>
  </si>
  <si>
    <t>GRUPO EMPRESARIAL OROSOL S. A.</t>
  </si>
  <si>
    <t>Defensoría Habitantes, SPMPO N°032, Serv.Parqueo DH-29 de Sede Reg.Limón 15/01/18-15/02/18  Fact.Gob.115-18  OP.15007/SP.200003  Reg.103-808-10101</t>
  </si>
  <si>
    <t>Defensoría Habitantes, SPMPO N°032, Alquiler Local Ofic.Reg.Liberia FEB-18  Fact.Gob.119-18   OP.15004/SP.200003  Reg.103-808-10101 ¢809,570 (2%Ret.¢16,191.40)</t>
  </si>
  <si>
    <t>JUNTA ADMINISTRATIVA DE LA IMPRENTA NACIONAL</t>
  </si>
  <si>
    <t>Defensoría Habitantes, SPMPO Nº032, Serv.Pub. La Gac.038 de 28/02/18 "Reglamento sobre la Rendición de Cauciones"  Fact.Gob.122-18  OP.15008/SP.200009  Reg.103-808-10301</t>
  </si>
  <si>
    <t>MUNICIPALIDAD DE SAN CARLOS</t>
  </si>
  <si>
    <t>Defensoría Habitantes, SPMPO N°032, Serv.AguaMedida, Recolecc.Basura FEB-18   Fact.Gob.123-18  OP.15019/SP.200008   Reg.103-808-10299</t>
  </si>
  <si>
    <t>MARJORIE HERRERA CASTRO</t>
  </si>
  <si>
    <t>Defensoría Habitantes, SPMPO N°032, VIÁTICOS Pago Gira Canoas-AltoComte 28/02,01/03/18  Res.100015  Reg.103-808-10502</t>
  </si>
  <si>
    <t>SPMPO-033-2018 CTA #TRANF.CTES</t>
  </si>
  <si>
    <t>CAJA COSTARRICENSE DEL SEGURO SOCIAL</t>
  </si>
  <si>
    <t>Defensoría Habitantes, SPMPO Nº033, Aporte Pat.Banco Popular 0.50% Planilla Fija FEB-18  Fact.Gob.151-18  Res.100003  Reg.103-808-00405</t>
  </si>
  <si>
    <t>Defensoría Habitantes, SPMPO Nº033, Cont.Pat.Seg.Pensiones 5.08% Planilla Fija FEB-18  Fact.Gob.152-18  Res.100002  Reg.103-808-00501</t>
  </si>
  <si>
    <t>Defensoría Habitantes, SPMPO Nº033, Cont.Pat.Seg.Salud Enf.y Maternidad 9.25% Planilla Fija FEB-18  Fact.Gob.152-18  Res.100001  Reg.103-808-00401</t>
  </si>
  <si>
    <t>Defensoría Habitantes, SPMPO Nº033, Aporte Pat.Reg.Oblig.Pens.1.5% Planilla Fija FEB-18  Fact.Gob.153-18  Res.100004  Reg.103-808-00502</t>
  </si>
  <si>
    <t>Defensoría Habitantes, SPMPO Nº033, Aporte Pat.Fdo.Cap.Laboral 3% Planilla Fija FEB-18  Fact.Gob.154-18  Res.100005  Reg.103-808-00503</t>
  </si>
  <si>
    <t>SPMPO-034-2018 CTA #TRANF.CTES</t>
  </si>
  <si>
    <t>COMPA#IA NACIONAL DE FUERZA Y LUZ S A</t>
  </si>
  <si>
    <t>Defensoría Habitantes, SPMPO Nº034, Serv.Electricidad Ofic.Ctl.DHR MAR-18  Fact.Gob.145-18  OP.15012/SP.200005  Reg.103-808-10202 ¢1,517,385 (2%Ret.¢30,347.70)  (Vence 20/03/18 NISE 497430)</t>
  </si>
  <si>
    <t>Defensoría Habitantes, SPMPO Nº034, Serv.Electricidad Ofic.Reg.Limón MAR-18  Fact.Gob.146-18  OP.15010/SP.200005  Reg.103-808-10202 (Vence 30/03/17  NISE 286343)</t>
  </si>
  <si>
    <t>Defensoría Habitantes, SPMPO Nº034, Serv.Electricidad Ofic.Reg.P.Z. FEB-18  Fact.Gob.147-18  OP.15010/SP.200005  Reg.103-808-10202 (Vence 26/03/17  NISE 865745)</t>
  </si>
  <si>
    <t>Defensoría Habitantes, SPMPO Nº034, Serv.Electricidad Ofic.Reg.Ptnas MAR-18  Fact.Gob.148-18  OP.15010/SP.200005  Reg.103-808-10202 (Vence 30/03/18  NISE 777444)</t>
  </si>
  <si>
    <t>Defensoría Habitantes, SPMPO Nº034, Serv.Electricidad Ofic.Reg.Ptnas MAR-18  Fact.Gob.155-18  OP.15010/SP.200005  Reg.103-808-10202 (Vence 30/03/18  NISE 777444)</t>
  </si>
  <si>
    <t>COOPERATIVA DE ELECTRIFICACION RURAL DE SAN CARLOS</t>
  </si>
  <si>
    <t>Defensoría Habitantes, SPMPO Nº034, Serv.Electricidad Ofic.Reg.SanCarlos MAR-18  Fact.Gob.156-18  OP.15011/SP.200005  Reg.103-808-10202 (Vence 26/03/18)</t>
  </si>
  <si>
    <t>RADIOGRAFICA COSTARRICENSE S A</t>
  </si>
  <si>
    <t>Defensoría Habitantes, SPMPO N°034, Serv.Telemáticos FEB-18  Fact.Gob.158-18  OP.15016/SP.200007  Reg.103-808-10204 ¢191,894.70 (2%Ret.¢3,837.90)</t>
  </si>
  <si>
    <t>Defensoría Habitantes, SPMPO N°034, Cobro Serv.Uso de la Plataforma MERLINK FEB-18  Fact.Gob.159-18  OP.15020/SP.200010  Reg.103-808-10306 ¢118,922.55 (2%Ret.¢2,378.45)</t>
  </si>
  <si>
    <t>INSTITUTO COSTARRICENSE DE ACUEDUCTOS Y ALCANTARIL</t>
  </si>
  <si>
    <t>Defensoría Habitantes, SPMPO N°034, Serv.AyA Ofic.Reg.Ptnas.06/02/18  Fact.Gob.140-18  OP.15009/SP.200004  Reg.103-808-10201</t>
  </si>
  <si>
    <t>Defensoría Habitantes, SPMPO N°034, Serv.AyA Ofic.Reg.C.Neilly 13/02/18  Fact.Gob.141-18  OP.15009/SP.200004  Reg.103-808-10201</t>
  </si>
  <si>
    <t>Defensoría Habitantes, SPMPO N°034, Serv.AyA Ofic.Ctl.DHR 14/02/18  Fact.Gob.142-18  OP.15009/SP.200004  Reg.103-808-10201 ¢2,550,281 (2%Ret:¢51,005.62)</t>
  </si>
  <si>
    <t>Defensoría Habitantes, SPMPO N°034, Serv.AyA Ofic.Reg.Limón 01/02/18  Fact.Gob.143-18  OP.15009/SP.200004  Reg.103-808-10201</t>
  </si>
  <si>
    <t>Defensoría Habitantes, SPMPO N°034, Serv.AyA Ofic.Reg.Liberia 10/02/18  Fact.Gob.144-18  OP.15009/SP.200004  Reg.103-808-10201</t>
  </si>
  <si>
    <t>YANCY MORA GONZALEZ</t>
  </si>
  <si>
    <t>Defensoría Habitantes, SPMPO N°034, VIÁTICOS Pago Gira San José 28/02,01,02/03  Res.100015  Reg.103-808-10502</t>
  </si>
  <si>
    <t>Defensoría Habitantes, SPMPO N°034, VIÁTICOS Pago Gira San José-Pococí 01,02/03/18  Res.100015  Reg.103-808-10502</t>
  </si>
  <si>
    <t>WALTER MEZA DALL ANESE</t>
  </si>
  <si>
    <t>Defensoría Habitantes, SPMPO N°034, VIÁTICOS Pago Gira Liberia 07,08/03/18  Res.100015  Reg.103-808-10502</t>
  </si>
  <si>
    <t>LUIS GUILLERMO QUESADA GARCIA</t>
  </si>
  <si>
    <t>Defensoría Habitantes, SPMPO N°034, VIÁTICOS Pago Giras: Liberia 07,08/03/18 ¢38,650 y Cdad.Neilly 12,13/03/18 ¢38,550  Res.100015  Reg.103-808-10502</t>
  </si>
  <si>
    <t>SPMPO-035-2018 CTA #TRANF.CTES</t>
  </si>
  <si>
    <t>CORREOS DE COSTA RICA S A</t>
  </si>
  <si>
    <t>Defensoría Habitantes, SPMPO Nº035, MERLINK Serv.Correspondencia y Fax FEB-18  OP.15013/SP.200006  Reg.103-808-10203 ¢564,165 (2%Ret.¢11,283.30)</t>
  </si>
  <si>
    <t>RPOST S. A.</t>
  </si>
  <si>
    <t>Defensoría Habitantes, SPMPO Nº035, Serv.Correo Electrónico Certificado 13/02/18-12/03/18  Fact.Gob.157-18  OP.15021/SP.200011  Reg.103-808-10307 ¢1,259,886.32 (2%Ret.¢25,197.72)</t>
  </si>
  <si>
    <t>ASOCIACION SOLIDARISTA DE FUNCIONARIOS Y FUNCIONAR</t>
  </si>
  <si>
    <t>Defensoría Habitantes, SPMPO N°035, Pago 5% Aporte Patronal FEB-2018  Fact.Gob.149-18  Res.100906  Reg.103-808-00505</t>
  </si>
  <si>
    <t>Defensoría Habitantes, SPMPO Nº035, Serv.Pub. La Gac.044 de 08/03/18 "Reglamento para el Funcionamiento de la Proveeduría"  Fact.Gob.150-18  OP.15008/SP.200009  Reg.103-808-10301</t>
  </si>
  <si>
    <t>ALEJANDRA SOBRADO BARQUERO</t>
  </si>
  <si>
    <t>Defensoría Habitantes, SPMPO N°035, VIÁTICOS Pago Gira Liberia 07,08/03/18  Res.100015  Reg.103-808-10502</t>
  </si>
  <si>
    <t>KAREN ROMAN GUERRERO</t>
  </si>
  <si>
    <t>Defensoría Habitantes, SPMPO N°035, VIÁTICOS Pago Gira Cdad.Neilly 12,13/03/18  Res.100015  Reg.103-808-10502</t>
  </si>
  <si>
    <t>HECTOR JOSE GUTIERREZ GONZALEZ</t>
  </si>
  <si>
    <t>SPMPO-036-2018 CTA #TRANF.CTES</t>
  </si>
  <si>
    <t>CUATRO EN LINEA AUTOMOTRIZ S. A.</t>
  </si>
  <si>
    <t>Defensoría Habitantes, SPMPO N°036, MERLINK Mant.Prev.Veh.Placa DH-30  Contrato043005/SP.200017  Reg.103-808-10805 ¢31,000 (2%Ret.¢620)</t>
  </si>
  <si>
    <t>SERVICIO DE MONITOREO ELECTRONICO ALFA SOCIEDAD AN</t>
  </si>
  <si>
    <t>Defensoría Habitantes, SPMPO N°036, MERLINK Serv.Monitoreo Alarma y Resp.Armada Ofics.Regs. Limón, Ptnas, Liberia y PZ ENE-18  OP.15025/SP.200012  Reg.103-808-10406</t>
  </si>
  <si>
    <t>Defensoría Habitantes, SPMPO N°036, MERLINK Serv.Monitoreo Alarma y Resp.Armada Ofic.Reg. San Carlos ENE-18  OP.15025/SP.200012  Reg.103-808-10406</t>
  </si>
  <si>
    <t>Defensoría Habitantes, SPMPO N°036, MERLINK Serv.Monitoreo Alarma y Resp.Armada Ofics.Regs. Limón, Ptnas, Liberia y PZ FEB-18  OP.15025/SP.200012  Reg.103-808-10406</t>
  </si>
  <si>
    <t>Defensoría Habitantes, SPMPO N°036, MERLINK Serv.Monitoreo Alarma y Resp.Armada Ofic.Reg. San Carlos FEB-18  OP.15025/SP.200012  Reg.103-808-10406</t>
  </si>
  <si>
    <t>NAVEGACION SATELITAL DE COSTA RICA S. A.</t>
  </si>
  <si>
    <t>Defensoría Habitantes, SPMPO Nº036, Serv.Adm.Flotilla y Localizac.Satelital GPS 12-Dispositivos Rastreo y AccesoWeb FEB-18  Fact.Gob.161-18  OP.15017/SP.200007  Reg.103-808-10204</t>
  </si>
  <si>
    <t>Defensoría Habitantes, SPMPO N°036, VIÁTICOS Pago Gira San José 01/03/18  Res.100015  Reg.103-808-10502</t>
  </si>
  <si>
    <t>JUAN JOSE ARROYO SANCHEZ</t>
  </si>
  <si>
    <t>Defensoría Habitantes, SPMPO N°036, VIÁTICOS Pago Gira Jicaral 07/03/18  Res.100015  Reg.103-808-10502</t>
  </si>
  <si>
    <t>KATTIA YENORY PEREZ REYES</t>
  </si>
  <si>
    <t>Defensoría Habitantes, SPMPO N°036, VIÁTICOS Pago Gira San José 09/03/18  Res.100015  Reg.103-808-10502</t>
  </si>
  <si>
    <t>Defensoría Habitantes, SPMPO N°036, VIÁTICOS Pago Gira San José 09/03/18  Res.100014  Reg.103-808-10501</t>
  </si>
  <si>
    <t>Defensoría Habitantes, SPMPO N°036, VIÁTICOS Pago Giras: Bº Aires 28/02/18 ¢8,350, San José 01/03/18 ¢8,350 y San José 12/03/18 ¢3,200  Res.100015  Reg.103-808-10502</t>
  </si>
  <si>
    <t>SPMPO-037-2018 CTA #TRANF.CTES</t>
  </si>
  <si>
    <t>Defensoría Habitantes, SPMPO Nº037, Serv.Pub. La Gac.050 de 16/03/18 "Modificaciones del Estatuto Autónomo de Organización de la Defensoría de los Habitantes"  Fact.Gob.164-18  OP.15008/SP.200009  Reg.103-808-10301</t>
  </si>
  <si>
    <t>Defensoría Habitantes, SPMPO N°037, Serv.Tels FEB-17  Fact.Gob.165-18  OP.15014/SP.200007  Reg.103-808-10204 ¢3,034,384 (2%Ret.¢60,687.70)</t>
  </si>
  <si>
    <t>Defensoría Habitantes, SPMPO N°037, Serv.Tels FEB-17  Fact.Gob.166-18  OP.15014/SP.200007  Reg.103-808-10204 ¢172,351 (2%Ret.¢3,447)</t>
  </si>
  <si>
    <t>Defensoría Habitantes, SPMPO N°037, Serv.Tels FEB-17  Fact.Gob.167-18  OP.15014/SP.200007  Reg.103-808-10204 ¢187,757 (2%Ret.¢3,755.15)</t>
  </si>
  <si>
    <t>Defensoría Habitantes, SPMPO N°037, Ayuda Económica Estudiantes Colegios Técnicos Profesionales (13 días) 01-23/03/2018  Reserva 100027  Reg.103-808-60202 (Acuerdo 1736 11/12/12)</t>
  </si>
  <si>
    <t>Defensoría Habitantes, SPMPO N°037, Ayuda Económica Estudiantes Colegios Técnicos Profesionales (17 días) 01-23/03/2018  Reserva 100027  Reg.103-808-60202 (Acuerdo 1736 11/12/12)</t>
  </si>
  <si>
    <t>Defensoría Habitantes, SPMPO N°037, VIÁTICOS Pago Gira Costa de Pájaros 08/03/18  Res.100015  Reg.103-808-10502</t>
  </si>
  <si>
    <t>ALINA MARIA PANIAGUA ROJAS</t>
  </si>
  <si>
    <t>Defensoría Habitantes, SPMPO N°037, VIÁTICOS Pago Gira San José 12/03/18  Res.100015  Reg.103-808-10502</t>
  </si>
  <si>
    <t>ELIETH MARIA ARAYA AGUILAR</t>
  </si>
  <si>
    <t>Defensoría Habitantes, SPMPO N°037, VIÁTICOS Pago Gira Cutris 13/03/18  Res.100015  Reg.103-808-10502</t>
  </si>
  <si>
    <t>Defensoría Habitantes, SPMPO N°037, VIÁTICOS Pago Gira Bº Aires 15,16/03/18  Res.100015  Reg.103-808-10502</t>
  </si>
  <si>
    <t>ALVARO ANTONIO PANIAGUA NU\EZ</t>
  </si>
  <si>
    <t>Transf. SRHN-1266-18 C.Ch.-S Carlos</t>
  </si>
  <si>
    <t>Transf.SRCH-1269-18 C Chica-Liberia</t>
  </si>
  <si>
    <t>Transf. SRB-1267-18 Caja Chica-P.Z.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</si>
</sst>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_-* #,##0.00_-;\-* #,##0.00_-;_-* &quot;-&quot;??_-;_-@_-"/>
    <numFmt numFmtId="166" formatCode="0.00000"/>
  </numFmts>
  <fonts count="6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u val="single"/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6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8" borderId="0" applyNumberFormat="0" applyBorder="0" applyAlignment="0" applyProtection="0"/>
    <xf numFmtId="0" fontId="44" fillId="20" borderId="0" applyNumberFormat="0" applyBorder="0" applyAlignment="0" applyProtection="0"/>
    <xf numFmtId="0" fontId="0" fillId="14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1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16" borderId="0" applyNumberFormat="0" applyBorder="0" applyAlignment="0" applyProtection="0"/>
    <xf numFmtId="0" fontId="45" fillId="26" borderId="0" applyNumberFormat="0" applyBorder="0" applyAlignment="0" applyProtection="0"/>
    <xf numFmtId="0" fontId="1" fillId="18" borderId="0" applyNumberFormat="0" applyBorder="0" applyAlignment="0" applyProtection="0"/>
    <xf numFmtId="0" fontId="45" fillId="27" borderId="0" applyNumberFormat="0" applyBorder="0" applyAlignment="0" applyProtection="0"/>
    <xf numFmtId="0" fontId="1" fillId="28" borderId="0" applyNumberFormat="0" applyBorder="0" applyAlignment="0" applyProtection="0"/>
    <xf numFmtId="0" fontId="45" fillId="29" borderId="0" applyNumberFormat="0" applyBorder="0" applyAlignment="0" applyProtection="0"/>
    <xf numFmtId="0" fontId="1" fillId="30" borderId="0" applyNumberFormat="0" applyBorder="0" applyAlignment="0" applyProtection="0"/>
    <xf numFmtId="0" fontId="45" fillId="31" borderId="0" applyNumberFormat="0" applyBorder="0" applyAlignment="0" applyProtection="0"/>
    <xf numFmtId="0" fontId="1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0" applyNumberFormat="0" applyBorder="0" applyAlignment="0" applyProtection="0"/>
    <xf numFmtId="0" fontId="2" fillId="6" borderId="0" applyNumberFormat="0" applyBorder="0" applyAlignment="0" applyProtection="0"/>
    <xf numFmtId="0" fontId="3" fillId="12" borderId="1" applyNumberFormat="0" applyAlignment="0" applyProtection="0"/>
    <xf numFmtId="0" fontId="47" fillId="35" borderId="2" applyNumberFormat="0" applyAlignment="0" applyProtection="0"/>
    <xf numFmtId="0" fontId="4" fillId="36" borderId="3" applyNumberFormat="0" applyAlignment="0" applyProtection="0"/>
    <xf numFmtId="0" fontId="48" fillId="37" borderId="4" applyNumberFormat="0" applyAlignment="0" applyProtection="0"/>
    <xf numFmtId="0" fontId="5" fillId="0" borderId="5" applyNumberFormat="0" applyFill="0" applyAlignment="0" applyProtection="0"/>
    <xf numFmtId="0" fontId="49" fillId="0" borderId="6" applyNumberFormat="0" applyFill="0" applyAlignment="0" applyProtection="0"/>
    <xf numFmtId="0" fontId="1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8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45" fillId="41" borderId="0" applyNumberFormat="0" applyBorder="0" applyAlignment="0" applyProtection="0"/>
    <xf numFmtId="0" fontId="1" fillId="42" borderId="0" applyNumberFormat="0" applyBorder="0" applyAlignment="0" applyProtection="0"/>
    <xf numFmtId="0" fontId="45" fillId="43" borderId="0" applyNumberFormat="0" applyBorder="0" applyAlignment="0" applyProtection="0"/>
    <xf numFmtId="0" fontId="1" fillId="28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1" fillId="46" borderId="0" applyNumberFormat="0" applyBorder="0" applyAlignment="0" applyProtection="0"/>
    <xf numFmtId="0" fontId="45" fillId="47" borderId="0" applyNumberFormat="0" applyBorder="0" applyAlignment="0" applyProtection="0"/>
    <xf numFmtId="0" fontId="7" fillId="12" borderId="1" applyNumberFormat="0" applyAlignment="0" applyProtection="0"/>
    <xf numFmtId="0" fontId="51" fillId="48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2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50" borderId="0" applyNumberFormat="0" applyBorder="0" applyAlignment="0" applyProtection="0"/>
    <xf numFmtId="0" fontId="53" fillId="51" borderId="0" applyNumberFormat="0" applyBorder="0" applyAlignment="0" applyProtection="0"/>
    <xf numFmtId="0" fontId="44" fillId="0" borderId="0">
      <alignment/>
      <protection/>
    </xf>
    <xf numFmtId="0" fontId="19" fillId="0" borderId="0">
      <alignment/>
      <protection/>
    </xf>
    <xf numFmtId="0" fontId="0" fillId="52" borderId="8" applyNumberFormat="0" applyFont="0" applyAlignment="0" applyProtection="0"/>
    <xf numFmtId="0" fontId="0" fillId="53" borderId="9" applyNumberFormat="0" applyFont="0" applyAlignment="0" applyProtection="0"/>
    <xf numFmtId="9" fontId="0" fillId="0" borderId="0" applyFont="0" applyFill="0" applyBorder="0" applyAlignment="0" applyProtection="0"/>
    <xf numFmtId="0" fontId="10" fillId="12" borderId="10" applyNumberFormat="0" applyAlignment="0" applyProtection="0"/>
    <xf numFmtId="0" fontId="54" fillId="35" borderId="11" applyNumberFormat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15" fillId="0" borderId="13" applyNumberFormat="0" applyFill="0" applyAlignment="0" applyProtection="0"/>
    <xf numFmtId="0" fontId="58" fillId="0" borderId="14" applyNumberFormat="0" applyFill="0" applyAlignment="0" applyProtection="0"/>
    <xf numFmtId="0" fontId="6" fillId="0" borderId="15" applyNumberFormat="0" applyFill="0" applyAlignment="0" applyProtection="0"/>
    <xf numFmtId="0" fontId="50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0" fillId="0" borderId="18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justify"/>
    </xf>
    <xf numFmtId="43" fontId="0" fillId="0" borderId="0" xfId="0" applyNumberFormat="1" applyAlignment="1">
      <alignment/>
    </xf>
    <xf numFmtId="43" fontId="0" fillId="0" borderId="0" xfId="80" applyFont="1" applyAlignment="1">
      <alignment/>
    </xf>
    <xf numFmtId="0" fontId="20" fillId="54" borderId="0" xfId="0" applyFont="1" applyFill="1" applyAlignment="1">
      <alignment/>
    </xf>
    <xf numFmtId="0" fontId="19" fillId="0" borderId="0" xfId="0" applyFont="1" applyAlignment="1">
      <alignment/>
    </xf>
    <xf numFmtId="4" fontId="21" fillId="0" borderId="0" xfId="0" applyNumberFormat="1" applyFont="1" applyAlignment="1">
      <alignment/>
    </xf>
    <xf numFmtId="0" fontId="22" fillId="54" borderId="0" xfId="0" applyFont="1" applyFill="1" applyAlignment="1">
      <alignment/>
    </xf>
    <xf numFmtId="0" fontId="21" fillId="0" borderId="0" xfId="0" applyFont="1" applyAlignment="1">
      <alignment/>
    </xf>
    <xf numFmtId="4" fontId="21" fillId="50" borderId="19" xfId="0" applyNumberFormat="1" applyFont="1" applyFill="1" applyBorder="1" applyAlignment="1">
      <alignment horizontal="center"/>
    </xf>
    <xf numFmtId="4" fontId="21" fillId="55" borderId="19" xfId="0" applyNumberFormat="1" applyFont="1" applyFill="1" applyBorder="1" applyAlignment="1">
      <alignment horizontal="center"/>
    </xf>
    <xf numFmtId="4" fontId="21" fillId="4" borderId="19" xfId="0" applyNumberFormat="1" applyFont="1" applyFill="1" applyBorder="1" applyAlignment="1">
      <alignment horizontal="center"/>
    </xf>
    <xf numFmtId="4" fontId="21" fillId="30" borderId="19" xfId="0" applyNumberFormat="1" applyFont="1" applyFill="1" applyBorder="1" applyAlignment="1">
      <alignment horizontal="center"/>
    </xf>
    <xf numFmtId="4" fontId="21" fillId="12" borderId="19" xfId="0" applyNumberFormat="1" applyFont="1" applyFill="1" applyBorder="1" applyAlignment="1">
      <alignment horizontal="center"/>
    </xf>
    <xf numFmtId="4" fontId="21" fillId="6" borderId="19" xfId="0" applyNumberFormat="1" applyFont="1" applyFill="1" applyBorder="1" applyAlignment="1">
      <alignment horizontal="center"/>
    </xf>
    <xf numFmtId="4" fontId="21" fillId="56" borderId="19" xfId="0" applyNumberFormat="1" applyFont="1" applyFill="1" applyBorder="1" applyAlignment="1">
      <alignment horizontal="center"/>
    </xf>
    <xf numFmtId="4" fontId="21" fillId="14" borderId="19" xfId="0" applyNumberFormat="1" applyFont="1" applyFill="1" applyBorder="1" applyAlignment="1">
      <alignment horizontal="center"/>
    </xf>
    <xf numFmtId="4" fontId="21" fillId="40" borderId="19" xfId="0" applyNumberFormat="1" applyFont="1" applyFill="1" applyBorder="1" applyAlignment="1">
      <alignment horizontal="center"/>
    </xf>
    <xf numFmtId="0" fontId="23" fillId="0" borderId="0" xfId="0" applyFont="1" applyAlignment="1" quotePrefix="1">
      <alignment horizontal="center"/>
    </xf>
    <xf numFmtId="0" fontId="23" fillId="0" borderId="0" xfId="0" applyFont="1" applyAlignment="1">
      <alignment/>
    </xf>
    <xf numFmtId="4" fontId="23" fillId="12" borderId="0" xfId="0" applyNumberFormat="1" applyFont="1" applyFill="1" applyAlignment="1">
      <alignment/>
    </xf>
    <xf numFmtId="0" fontId="24" fillId="36" borderId="0" xfId="0" applyFont="1" applyFill="1" applyAlignment="1" quotePrefix="1">
      <alignment horizontal="center"/>
    </xf>
    <xf numFmtId="0" fontId="24" fillId="36" borderId="0" xfId="0" applyFont="1" applyFill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" fontId="23" fillId="0" borderId="0" xfId="0" applyNumberFormat="1" applyFont="1" applyAlignment="1">
      <alignment/>
    </xf>
    <xf numFmtId="0" fontId="24" fillId="36" borderId="0" xfId="0" applyFont="1" applyFill="1" applyAlignment="1">
      <alignment horizontal="center"/>
    </xf>
    <xf numFmtId="0" fontId="25" fillId="0" borderId="0" xfId="0" applyFont="1" applyAlignment="1">
      <alignment/>
    </xf>
    <xf numFmtId="4" fontId="21" fillId="14" borderId="2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 applyProtection="1">
      <alignment horizontal="left"/>
      <protection locked="0"/>
    </xf>
    <xf numFmtId="0" fontId="21" fillId="0" borderId="0" xfId="0" applyNumberFormat="1" applyFont="1" applyAlignment="1" quotePrefix="1">
      <alignment/>
    </xf>
    <xf numFmtId="0" fontId="21" fillId="0" borderId="0" xfId="0" applyFont="1" applyAlignment="1">
      <alignment vertical="top"/>
    </xf>
    <xf numFmtId="4" fontId="28" fillId="0" borderId="0" xfId="0" applyNumberFormat="1" applyFont="1" applyAlignment="1">
      <alignment vertical="top"/>
    </xf>
    <xf numFmtId="43" fontId="19" fillId="0" borderId="0" xfId="80" applyFont="1" applyAlignment="1">
      <alignment/>
    </xf>
    <xf numFmtId="43" fontId="21" fillId="12" borderId="19" xfId="80" applyFont="1" applyFill="1" applyBorder="1" applyAlignment="1">
      <alignment horizontal="center"/>
    </xf>
    <xf numFmtId="43" fontId="21" fillId="0" borderId="0" xfId="80" applyFont="1" applyAlignment="1">
      <alignment/>
    </xf>
    <xf numFmtId="43" fontId="21" fillId="14" borderId="20" xfId="80" applyFont="1" applyFill="1" applyBorder="1" applyAlignment="1">
      <alignment/>
    </xf>
    <xf numFmtId="0" fontId="30" fillId="0" borderId="0" xfId="0" applyFont="1" applyAlignment="1">
      <alignment/>
    </xf>
    <xf numFmtId="43" fontId="30" fillId="0" borderId="0" xfId="80" applyFont="1" applyAlignment="1">
      <alignment/>
    </xf>
    <xf numFmtId="43" fontId="30" fillId="0" borderId="0" xfId="0" applyNumberFormat="1" applyFont="1" applyAlignment="1">
      <alignment/>
    </xf>
    <xf numFmtId="43" fontId="29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31" fillId="36" borderId="19" xfId="0" applyFont="1" applyFill="1" applyBorder="1" applyAlignment="1">
      <alignment horizontal="center" vertical="center"/>
    </xf>
    <xf numFmtId="0" fontId="31" fillId="36" borderId="19" xfId="0" applyFont="1" applyFill="1" applyBorder="1" applyAlignment="1">
      <alignment horizontal="center" vertical="justify"/>
    </xf>
    <xf numFmtId="0" fontId="31" fillId="0" borderId="0" xfId="0" applyFont="1" applyAlignment="1">
      <alignment horizontal="center" vertical="justify"/>
    </xf>
    <xf numFmtId="0" fontId="32" fillId="36" borderId="21" xfId="0" applyFont="1" applyFill="1" applyBorder="1" applyAlignment="1">
      <alignment horizontal="justify" vertical="center"/>
    </xf>
    <xf numFmtId="0" fontId="31" fillId="54" borderId="19" xfId="0" applyFont="1" applyFill="1" applyBorder="1" applyAlignment="1">
      <alignment horizontal="justify" vertical="justify"/>
    </xf>
    <xf numFmtId="0" fontId="33" fillId="0" borderId="19" xfId="0" applyFont="1" applyBorder="1" applyAlignment="1">
      <alignment horizontal="center"/>
    </xf>
    <xf numFmtId="43" fontId="33" fillId="0" borderId="19" xfId="80" applyFont="1" applyBorder="1" applyAlignment="1">
      <alignment horizontal="center"/>
    </xf>
    <xf numFmtId="43" fontId="33" fillId="0" borderId="0" xfId="80" applyFont="1" applyAlignment="1">
      <alignment/>
    </xf>
    <xf numFmtId="43" fontId="33" fillId="0" borderId="19" xfId="80" applyFont="1" applyBorder="1" applyAlignment="1">
      <alignment/>
    </xf>
    <xf numFmtId="43" fontId="33" fillId="0" borderId="0" xfId="0" applyNumberFormat="1" applyFont="1" applyAlignment="1">
      <alignment/>
    </xf>
    <xf numFmtId="0" fontId="32" fillId="36" borderId="22" xfId="0" applyFont="1" applyFill="1" applyBorder="1" applyAlignment="1">
      <alignment horizontal="justify" vertical="center"/>
    </xf>
    <xf numFmtId="0" fontId="32" fillId="36" borderId="23" xfId="0" applyFont="1" applyFill="1" applyBorder="1" applyAlignment="1">
      <alignment horizontal="justify" vertical="center"/>
    </xf>
    <xf numFmtId="0" fontId="31" fillId="18" borderId="19" xfId="0" applyFont="1" applyFill="1" applyBorder="1" applyAlignment="1">
      <alignment horizontal="justify" vertical="justify"/>
    </xf>
    <xf numFmtId="0" fontId="33" fillId="18" borderId="19" xfId="0" applyFont="1" applyFill="1" applyBorder="1" applyAlignment="1">
      <alignment horizontal="center"/>
    </xf>
    <xf numFmtId="43" fontId="33" fillId="18" borderId="19" xfId="80" applyFont="1" applyFill="1" applyBorder="1" applyAlignment="1">
      <alignment/>
    </xf>
    <xf numFmtId="43" fontId="31" fillId="0" borderId="0" xfId="0" applyNumberFormat="1" applyFont="1" applyAlignment="1">
      <alignment/>
    </xf>
    <xf numFmtId="0" fontId="32" fillId="36" borderId="21" xfId="0" applyFont="1" applyFill="1" applyBorder="1" applyAlignment="1">
      <alignment horizontal="center" vertical="center"/>
    </xf>
    <xf numFmtId="0" fontId="32" fillId="36" borderId="22" xfId="0" applyFont="1" applyFill="1" applyBorder="1" applyAlignment="1">
      <alignment horizontal="center" vertical="center"/>
    </xf>
    <xf numFmtId="0" fontId="32" fillId="36" borderId="23" xfId="0" applyFont="1" applyFill="1" applyBorder="1" applyAlignment="1">
      <alignment horizontal="center" vertical="center"/>
    </xf>
    <xf numFmtId="43" fontId="33" fillId="0" borderId="22" xfId="80" applyFont="1" applyFill="1" applyBorder="1" applyAlignment="1">
      <alignment/>
    </xf>
    <xf numFmtId="0" fontId="31" fillId="24" borderId="19" xfId="0" applyFont="1" applyFill="1" applyBorder="1" applyAlignment="1">
      <alignment horizontal="justify" vertical="justify"/>
    </xf>
    <xf numFmtId="0" fontId="33" fillId="24" borderId="19" xfId="0" applyFont="1" applyFill="1" applyBorder="1" applyAlignment="1">
      <alignment horizontal="center"/>
    </xf>
    <xf numFmtId="43" fontId="33" fillId="24" borderId="19" xfId="80" applyFont="1" applyFill="1" applyBorder="1" applyAlignment="1">
      <alignment/>
    </xf>
    <xf numFmtId="0" fontId="31" fillId="28" borderId="19" xfId="0" applyFont="1" applyFill="1" applyBorder="1" applyAlignment="1">
      <alignment horizontal="justify" vertical="justify"/>
    </xf>
    <xf numFmtId="0" fontId="33" fillId="28" borderId="19" xfId="0" applyFont="1" applyFill="1" applyBorder="1" applyAlignment="1">
      <alignment horizontal="center"/>
    </xf>
    <xf numFmtId="43" fontId="33" fillId="28" borderId="19" xfId="80" applyFont="1" applyFill="1" applyBorder="1" applyAlignment="1">
      <alignment/>
    </xf>
    <xf numFmtId="0" fontId="31" fillId="54" borderId="19" xfId="0" applyFont="1" applyFill="1" applyBorder="1" applyAlignment="1">
      <alignment horizontal="justify" vertical="center"/>
    </xf>
    <xf numFmtId="0" fontId="32" fillId="36" borderId="21" xfId="0" applyFont="1" applyFill="1" applyBorder="1" applyAlignment="1">
      <alignment horizontal="justify" vertical="justify"/>
    </xf>
    <xf numFmtId="0" fontId="32" fillId="36" borderId="22" xfId="0" applyFont="1" applyFill="1" applyBorder="1" applyAlignment="1">
      <alignment horizontal="justify" vertical="justify"/>
    </xf>
    <xf numFmtId="0" fontId="32" fillId="36" borderId="23" xfId="0" applyFont="1" applyFill="1" applyBorder="1" applyAlignment="1">
      <alignment horizontal="justify" vertical="justify"/>
    </xf>
    <xf numFmtId="0" fontId="31" fillId="30" borderId="19" xfId="0" applyFont="1" applyFill="1" applyBorder="1" applyAlignment="1">
      <alignment horizontal="justify" vertical="center"/>
    </xf>
    <xf numFmtId="0" fontId="33" fillId="30" borderId="19" xfId="0" applyFont="1" applyFill="1" applyBorder="1" applyAlignment="1">
      <alignment horizontal="center"/>
    </xf>
    <xf numFmtId="43" fontId="33" fillId="30" borderId="19" xfId="80" applyFont="1" applyFill="1" applyBorder="1" applyAlignment="1">
      <alignment/>
    </xf>
    <xf numFmtId="0" fontId="31" fillId="42" borderId="19" xfId="0" applyFont="1" applyFill="1" applyBorder="1" applyAlignment="1">
      <alignment horizontal="justify" vertical="justify"/>
    </xf>
    <xf numFmtId="0" fontId="33" fillId="42" borderId="19" xfId="0" applyFont="1" applyFill="1" applyBorder="1" applyAlignment="1">
      <alignment horizontal="center"/>
    </xf>
    <xf numFmtId="43" fontId="33" fillId="42" borderId="19" xfId="80" applyFont="1" applyFill="1" applyBorder="1" applyAlignment="1">
      <alignment/>
    </xf>
    <xf numFmtId="43" fontId="33" fillId="42" borderId="20" xfId="0" applyNumberFormat="1" applyFont="1" applyFill="1" applyBorder="1" applyAlignment="1">
      <alignment/>
    </xf>
    <xf numFmtId="0" fontId="33" fillId="0" borderId="19" xfId="0" applyFont="1" applyBorder="1" applyAlignment="1">
      <alignment/>
    </xf>
    <xf numFmtId="43" fontId="31" fillId="0" borderId="19" xfId="8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43" fontId="31" fillId="36" borderId="20" xfId="0" applyNumberFormat="1" applyFont="1" applyFill="1" applyBorder="1" applyAlignment="1">
      <alignment/>
    </xf>
    <xf numFmtId="43" fontId="31" fillId="36" borderId="2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/>
    </xf>
    <xf numFmtId="43" fontId="33" fillId="42" borderId="0" xfId="0" applyNumberFormat="1" applyFont="1" applyFill="1" applyBorder="1" applyAlignment="1">
      <alignment/>
    </xf>
    <xf numFmtId="0" fontId="31" fillId="36" borderId="19" xfId="0" applyFont="1" applyFill="1" applyBorder="1" applyAlignment="1">
      <alignment horizontal="justify" vertical="center"/>
    </xf>
    <xf numFmtId="4" fontId="0" fillId="0" borderId="0" xfId="0" applyNumberFormat="1" applyAlignment="1">
      <alignment/>
    </xf>
    <xf numFmtId="4" fontId="37" fillId="0" borderId="0" xfId="0" applyNumberFormat="1" applyFont="1" applyAlignment="1">
      <alignment/>
    </xf>
    <xf numFmtId="4" fontId="37" fillId="0" borderId="0" xfId="0" applyNumberFormat="1" applyFont="1" applyAlignment="1" quotePrefix="1">
      <alignment/>
    </xf>
    <xf numFmtId="0" fontId="37" fillId="0" borderId="0" xfId="0" applyFont="1" applyAlignment="1">
      <alignment/>
    </xf>
    <xf numFmtId="4" fontId="26" fillId="12" borderId="19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38" fillId="0" borderId="0" xfId="0" applyFont="1" applyAlignment="1">
      <alignment horizontal="centerContinuous"/>
    </xf>
    <xf numFmtId="0" fontId="39" fillId="0" borderId="0" xfId="0" applyFont="1" applyAlignment="1">
      <alignment/>
    </xf>
  </cellXfs>
  <cellStyles count="9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ítulo 4" xfId="105"/>
    <cellStyle name="Total" xfId="106"/>
    <cellStyle name="Total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86"/>
  <sheetViews>
    <sheetView view="pageBreakPreview" zoomScale="60" zoomScaleNormal="90" zoomScalePageLayoutView="0" workbookViewId="0" topLeftCell="A1">
      <selection activeCell="H11" sqref="H11"/>
    </sheetView>
  </sheetViews>
  <sheetFormatPr defaultColWidth="11.421875" defaultRowHeight="15"/>
  <cols>
    <col min="1" max="1" width="28.28125" style="0" customWidth="1"/>
    <col min="2" max="2" width="68.140625" style="0" customWidth="1"/>
    <col min="3" max="3" width="21.7109375" style="1" customWidth="1"/>
    <col min="4" max="4" width="34.57421875" style="0" customWidth="1"/>
    <col min="5" max="5" width="28.28125" style="0" customWidth="1"/>
    <col min="6" max="6" width="25.140625" style="0" customWidth="1"/>
    <col min="7" max="7" width="23.7109375" style="0" customWidth="1"/>
    <col min="8" max="8" width="25.57421875" style="0" customWidth="1"/>
    <col min="9" max="9" width="29.140625" style="0" customWidth="1"/>
    <col min="10" max="10" width="28.421875" style="0" customWidth="1"/>
    <col min="11" max="12" width="31.140625" style="0" customWidth="1"/>
    <col min="13" max="13" width="16.57421875" style="0" hidden="1" customWidth="1"/>
    <col min="14" max="14" width="0.2890625" style="0" hidden="1" customWidth="1"/>
    <col min="15" max="15" width="0.13671875" style="0" hidden="1" customWidth="1"/>
    <col min="16" max="16" width="25.8515625" style="0" customWidth="1"/>
    <col min="17" max="17" width="15.421875" style="0" customWidth="1"/>
    <col min="18" max="18" width="27.140625" style="0" customWidth="1"/>
  </cols>
  <sheetData>
    <row r="1" spans="1:16" s="104" customFormat="1" ht="2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104" customFormat="1" ht="21">
      <c r="A2" s="103" t="s">
        <v>294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104" customFormat="1" ht="21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7" s="2" customFormat="1" ht="63.75" customHeight="1">
      <c r="A4" s="48" t="s">
        <v>2</v>
      </c>
      <c r="B4" s="48" t="s">
        <v>3</v>
      </c>
      <c r="C4" s="48" t="s">
        <v>4</v>
      </c>
      <c r="D4" s="48" t="s">
        <v>113</v>
      </c>
      <c r="E4" s="48" t="s">
        <v>291</v>
      </c>
      <c r="F4" s="48" t="s">
        <v>292</v>
      </c>
      <c r="G4" s="48"/>
      <c r="H4" s="96"/>
      <c r="I4" s="49" t="s">
        <v>117</v>
      </c>
      <c r="J4" s="48" t="s">
        <v>5</v>
      </c>
      <c r="K4" s="48" t="s">
        <v>6</v>
      </c>
      <c r="L4" s="48" t="s">
        <v>7</v>
      </c>
      <c r="M4" s="48" t="s">
        <v>8</v>
      </c>
      <c r="N4" s="48" t="s">
        <v>9</v>
      </c>
      <c r="O4" s="48" t="s">
        <v>10</v>
      </c>
      <c r="P4" s="49" t="s">
        <v>11</v>
      </c>
      <c r="Q4" s="50" t="s">
        <v>12</v>
      </c>
    </row>
    <row r="5" spans="1:18" ht="20.25">
      <c r="A5" s="51" t="s">
        <v>13</v>
      </c>
      <c r="B5" s="52" t="s">
        <v>14</v>
      </c>
      <c r="C5" s="53">
        <v>101</v>
      </c>
      <c r="D5" s="54">
        <v>1563459000</v>
      </c>
      <c r="E5" s="54"/>
      <c r="F5" s="54"/>
      <c r="G5" s="54"/>
      <c r="H5" s="54"/>
      <c r="I5" s="54">
        <f>SUM(D5:H5)</f>
        <v>1563459000</v>
      </c>
      <c r="J5" s="54"/>
      <c r="K5" s="54">
        <v>1231653145.85</v>
      </c>
      <c r="L5" s="54">
        <v>331805854.15</v>
      </c>
      <c r="M5" s="55">
        <v>447327911.34</v>
      </c>
      <c r="N5" s="56">
        <v>525641175.83</v>
      </c>
      <c r="O5" s="56">
        <v>892949824.17</v>
      </c>
      <c r="P5" s="56">
        <f>+I5-J5-K5-L5</f>
        <v>0</v>
      </c>
      <c r="Q5" s="57">
        <f>+L5/I5*100</f>
        <v>21.22254911385588</v>
      </c>
      <c r="R5" s="98"/>
    </row>
    <row r="6" spans="1:18" ht="20.25">
      <c r="A6" s="58"/>
      <c r="B6" s="52" t="s">
        <v>15</v>
      </c>
      <c r="C6" s="53">
        <v>105</v>
      </c>
      <c r="D6" s="54">
        <v>4000000</v>
      </c>
      <c r="E6" s="54"/>
      <c r="F6" s="54"/>
      <c r="G6" s="54"/>
      <c r="H6" s="54"/>
      <c r="I6" s="54">
        <f aca="true" t="shared" si="0" ref="I6:I19">SUM(D6:H6)</f>
        <v>4000000</v>
      </c>
      <c r="J6" s="54"/>
      <c r="K6" s="54">
        <v>0</v>
      </c>
      <c r="L6" s="54">
        <v>0</v>
      </c>
      <c r="M6" s="55" t="s">
        <v>284</v>
      </c>
      <c r="N6" s="56">
        <v>154823.21</v>
      </c>
      <c r="O6" s="56">
        <v>14845176.79</v>
      </c>
      <c r="P6" s="56">
        <f aca="true" t="shared" si="1" ref="P6:P19">+I6-J6-K6-L6</f>
        <v>4000000</v>
      </c>
      <c r="Q6" s="57">
        <f aca="true" t="shared" si="2" ref="Q6:Q19">+L6/I6*100</f>
        <v>0</v>
      </c>
      <c r="R6" s="99"/>
    </row>
    <row r="7" spans="1:18" ht="20.25">
      <c r="A7" s="58"/>
      <c r="B7" s="52" t="s">
        <v>17</v>
      </c>
      <c r="C7" s="53">
        <v>201</v>
      </c>
      <c r="D7" s="54">
        <v>12000000</v>
      </c>
      <c r="E7" s="54"/>
      <c r="F7" s="54"/>
      <c r="G7" s="54"/>
      <c r="H7" s="54"/>
      <c r="I7" s="54">
        <f t="shared" si="0"/>
        <v>12000000</v>
      </c>
      <c r="J7" s="54"/>
      <c r="K7" s="54">
        <v>9052382.46</v>
      </c>
      <c r="L7" s="54">
        <v>2947617.54</v>
      </c>
      <c r="M7" s="55">
        <v>3939631.01</v>
      </c>
      <c r="N7" s="56">
        <v>3174728.97</v>
      </c>
      <c r="O7" s="56">
        <v>6825271.03</v>
      </c>
      <c r="P7" s="56">
        <f t="shared" si="1"/>
        <v>0</v>
      </c>
      <c r="Q7" s="57">
        <f t="shared" si="2"/>
        <v>24.563479500000003</v>
      </c>
      <c r="R7" s="98"/>
    </row>
    <row r="8" spans="1:18" ht="20.25">
      <c r="A8" s="58"/>
      <c r="B8" s="52" t="s">
        <v>18</v>
      </c>
      <c r="C8" s="53">
        <v>202</v>
      </c>
      <c r="D8" s="54">
        <v>1000000</v>
      </c>
      <c r="E8" s="54"/>
      <c r="F8" s="54"/>
      <c r="G8" s="54"/>
      <c r="H8" s="54"/>
      <c r="I8" s="54">
        <f t="shared" si="0"/>
        <v>1000000</v>
      </c>
      <c r="J8" s="54"/>
      <c r="K8" s="54">
        <v>0</v>
      </c>
      <c r="L8" s="54">
        <v>0</v>
      </c>
      <c r="M8" s="55" t="s">
        <v>284</v>
      </c>
      <c r="N8" s="56">
        <v>0</v>
      </c>
      <c r="O8" s="56">
        <v>0</v>
      </c>
      <c r="P8" s="56">
        <f t="shared" si="1"/>
        <v>1000000</v>
      </c>
      <c r="Q8" s="57">
        <f t="shared" si="2"/>
        <v>0</v>
      </c>
      <c r="R8" s="100"/>
    </row>
    <row r="9" spans="1:18" ht="20.25">
      <c r="A9" s="58"/>
      <c r="B9" s="52" t="s">
        <v>19</v>
      </c>
      <c r="C9" s="53">
        <v>301</v>
      </c>
      <c r="D9" s="54">
        <v>1047200000</v>
      </c>
      <c r="E9" s="54"/>
      <c r="F9" s="54">
        <v>-15000000</v>
      </c>
      <c r="G9" s="54"/>
      <c r="H9" s="54"/>
      <c r="I9" s="54">
        <f t="shared" si="0"/>
        <v>1032200000</v>
      </c>
      <c r="J9" s="54"/>
      <c r="K9" s="54">
        <v>811590025.32</v>
      </c>
      <c r="L9" s="54">
        <v>220609974.68</v>
      </c>
      <c r="M9" s="55">
        <v>283723982.18</v>
      </c>
      <c r="N9" s="56">
        <v>358389541.8</v>
      </c>
      <c r="O9" s="56">
        <v>515216458.2</v>
      </c>
      <c r="P9" s="56">
        <f t="shared" si="1"/>
        <v>0</v>
      </c>
      <c r="Q9" s="57">
        <f t="shared" si="2"/>
        <v>21.372793516760318</v>
      </c>
      <c r="R9" s="98"/>
    </row>
    <row r="10" spans="1:18" ht="20.25">
      <c r="A10" s="58"/>
      <c r="B10" s="52" t="s">
        <v>20</v>
      </c>
      <c r="C10" s="53">
        <v>302</v>
      </c>
      <c r="D10" s="54">
        <v>852000000</v>
      </c>
      <c r="E10" s="54"/>
      <c r="F10" s="54">
        <v>-20000000</v>
      </c>
      <c r="G10" s="54"/>
      <c r="H10" s="54"/>
      <c r="I10" s="54">
        <f t="shared" si="0"/>
        <v>832000000</v>
      </c>
      <c r="J10" s="54"/>
      <c r="K10" s="54">
        <v>653432461.86</v>
      </c>
      <c r="L10" s="54">
        <v>178567538.14</v>
      </c>
      <c r="M10" s="55">
        <v>240254033.15</v>
      </c>
      <c r="N10" s="56">
        <v>290110408.32</v>
      </c>
      <c r="O10" s="56">
        <v>470425591.68</v>
      </c>
      <c r="P10" s="56">
        <f t="shared" si="1"/>
        <v>0</v>
      </c>
      <c r="Q10" s="57">
        <f t="shared" si="2"/>
        <v>21.46244448798077</v>
      </c>
      <c r="R10" s="98"/>
    </row>
    <row r="11" spans="1:18" ht="20.25">
      <c r="A11" s="58"/>
      <c r="B11" s="52" t="s">
        <v>21</v>
      </c>
      <c r="C11" s="53">
        <v>303</v>
      </c>
      <c r="D11" s="54">
        <v>346000000</v>
      </c>
      <c r="E11" s="54"/>
      <c r="F11" s="54"/>
      <c r="G11" s="54"/>
      <c r="H11" s="54"/>
      <c r="I11" s="54">
        <f t="shared" si="0"/>
        <v>346000000</v>
      </c>
      <c r="J11" s="54"/>
      <c r="K11" s="54">
        <v>0</v>
      </c>
      <c r="L11" s="54">
        <v>0</v>
      </c>
      <c r="M11" s="55">
        <v>323331.03</v>
      </c>
      <c r="N11" s="56">
        <v>0</v>
      </c>
      <c r="O11" s="56">
        <v>0</v>
      </c>
      <c r="P11" s="56">
        <f t="shared" si="1"/>
        <v>346000000</v>
      </c>
      <c r="Q11" s="57">
        <f t="shared" si="2"/>
        <v>0</v>
      </c>
      <c r="R11" s="100"/>
    </row>
    <row r="12" spans="1:18" ht="20.25">
      <c r="A12" s="58"/>
      <c r="B12" s="52" t="s">
        <v>22</v>
      </c>
      <c r="C12" s="53">
        <v>304</v>
      </c>
      <c r="D12" s="54">
        <v>280100000</v>
      </c>
      <c r="E12" s="54"/>
      <c r="F12" s="54">
        <v>-4584047.29</v>
      </c>
      <c r="G12" s="54"/>
      <c r="H12" s="54"/>
      <c r="I12" s="54">
        <f t="shared" si="0"/>
        <v>275515952.71</v>
      </c>
      <c r="J12" s="54"/>
      <c r="K12" s="54">
        <v>0</v>
      </c>
      <c r="L12" s="54">
        <v>275515952.71</v>
      </c>
      <c r="M12" s="55">
        <v>272023813.07</v>
      </c>
      <c r="N12" s="56">
        <v>0</v>
      </c>
      <c r="O12" s="56">
        <v>247830942</v>
      </c>
      <c r="P12" s="56">
        <f t="shared" si="1"/>
        <v>0</v>
      </c>
      <c r="Q12" s="57">
        <f t="shared" si="2"/>
        <v>100</v>
      </c>
      <c r="R12" s="100"/>
    </row>
    <row r="13" spans="1:18" ht="20.25">
      <c r="A13" s="58"/>
      <c r="B13" s="52" t="s">
        <v>23</v>
      </c>
      <c r="C13" s="53">
        <v>399</v>
      </c>
      <c r="D13" s="54">
        <v>444520000</v>
      </c>
      <c r="E13" s="54"/>
      <c r="F13" s="54"/>
      <c r="G13" s="54"/>
      <c r="H13" s="54"/>
      <c r="I13" s="54">
        <f t="shared" si="0"/>
        <v>444520000</v>
      </c>
      <c r="J13" s="54"/>
      <c r="K13" s="54">
        <v>351686818.94</v>
      </c>
      <c r="L13" s="54">
        <v>92833181.06</v>
      </c>
      <c r="M13" s="55">
        <v>122051409.7</v>
      </c>
      <c r="N13" s="56">
        <v>171121518.99</v>
      </c>
      <c r="O13" s="56">
        <v>230897481.01</v>
      </c>
      <c r="P13" s="56">
        <f t="shared" si="1"/>
        <v>0</v>
      </c>
      <c r="Q13" s="57">
        <f t="shared" si="2"/>
        <v>20.883915472869614</v>
      </c>
      <c r="R13" s="98"/>
    </row>
    <row r="14" spans="1:18" ht="20.25">
      <c r="A14" s="58"/>
      <c r="B14" s="52" t="s">
        <v>24</v>
      </c>
      <c r="C14" s="53">
        <v>401</v>
      </c>
      <c r="D14" s="54">
        <v>388896000</v>
      </c>
      <c r="E14" s="54"/>
      <c r="F14" s="54"/>
      <c r="G14" s="54"/>
      <c r="H14" s="54"/>
      <c r="I14" s="54">
        <f t="shared" si="0"/>
        <v>388896000</v>
      </c>
      <c r="J14" s="54"/>
      <c r="K14" s="54">
        <v>287051178</v>
      </c>
      <c r="L14" s="54">
        <v>101844822</v>
      </c>
      <c r="M14" s="55">
        <v>126391998</v>
      </c>
      <c r="N14" s="56">
        <v>152512390</v>
      </c>
      <c r="O14" s="56">
        <v>194950610</v>
      </c>
      <c r="P14" s="56">
        <f t="shared" si="1"/>
        <v>0</v>
      </c>
      <c r="Q14" s="57">
        <f t="shared" si="2"/>
        <v>26.188189644532212</v>
      </c>
      <c r="R14" s="98"/>
    </row>
    <row r="15" spans="1:18" ht="20.25">
      <c r="A15" s="58"/>
      <c r="B15" s="52" t="s">
        <v>25</v>
      </c>
      <c r="C15" s="53">
        <v>405</v>
      </c>
      <c r="D15" s="54">
        <v>21021000</v>
      </c>
      <c r="E15" s="54"/>
      <c r="F15" s="54"/>
      <c r="G15" s="54"/>
      <c r="H15" s="54"/>
      <c r="I15" s="54">
        <f t="shared" si="0"/>
        <v>21021000</v>
      </c>
      <c r="J15" s="54"/>
      <c r="K15" s="54">
        <v>15515882</v>
      </c>
      <c r="L15" s="54">
        <v>5505118</v>
      </c>
      <c r="M15" s="55">
        <v>6832011</v>
      </c>
      <c r="N15" s="56">
        <v>8244096</v>
      </c>
      <c r="O15" s="56">
        <v>10537904</v>
      </c>
      <c r="P15" s="56">
        <f t="shared" si="1"/>
        <v>0</v>
      </c>
      <c r="Q15" s="57">
        <f t="shared" si="2"/>
        <v>26.18865896008753</v>
      </c>
      <c r="R15" s="98"/>
    </row>
    <row r="16" spans="1:18" ht="20.25">
      <c r="A16" s="58"/>
      <c r="B16" s="52" t="s">
        <v>26</v>
      </c>
      <c r="C16" s="53">
        <v>501</v>
      </c>
      <c r="D16" s="54">
        <v>213577000</v>
      </c>
      <c r="E16" s="54"/>
      <c r="F16" s="54"/>
      <c r="G16" s="54"/>
      <c r="H16" s="54"/>
      <c r="I16" s="54">
        <f t="shared" si="0"/>
        <v>213577000</v>
      </c>
      <c r="J16" s="54"/>
      <c r="K16" s="54">
        <v>158147246</v>
      </c>
      <c r="L16" s="54">
        <v>55429754</v>
      </c>
      <c r="M16" s="55">
        <v>68801371</v>
      </c>
      <c r="N16" s="56">
        <v>85189199</v>
      </c>
      <c r="O16" s="56">
        <v>105633801</v>
      </c>
      <c r="P16" s="56">
        <f t="shared" si="1"/>
        <v>0</v>
      </c>
      <c r="Q16" s="57">
        <f t="shared" si="2"/>
        <v>25.95305393371009</v>
      </c>
      <c r="R16" s="98"/>
    </row>
    <row r="17" spans="1:18" ht="20.25">
      <c r="A17" s="58"/>
      <c r="B17" s="52" t="s">
        <v>27</v>
      </c>
      <c r="C17" s="53">
        <v>502</v>
      </c>
      <c r="D17" s="54">
        <v>63064000</v>
      </c>
      <c r="E17" s="54"/>
      <c r="F17" s="54"/>
      <c r="G17" s="54"/>
      <c r="H17" s="54"/>
      <c r="I17" s="54">
        <f t="shared" si="0"/>
        <v>63064000</v>
      </c>
      <c r="J17" s="54"/>
      <c r="K17" s="54">
        <v>46548615</v>
      </c>
      <c r="L17" s="54">
        <v>16515385</v>
      </c>
      <c r="M17" s="55">
        <v>20496006</v>
      </c>
      <c r="N17" s="56">
        <v>24731024</v>
      </c>
      <c r="O17" s="56">
        <v>31613976</v>
      </c>
      <c r="P17" s="56">
        <f t="shared" si="1"/>
        <v>0</v>
      </c>
      <c r="Q17" s="57">
        <f t="shared" si="2"/>
        <v>26.188292845363442</v>
      </c>
      <c r="R17" s="98"/>
    </row>
    <row r="18" spans="1:18" ht="20.25">
      <c r="A18" s="58"/>
      <c r="B18" s="52" t="s">
        <v>28</v>
      </c>
      <c r="C18" s="53">
        <v>503</v>
      </c>
      <c r="D18" s="54">
        <v>126128000</v>
      </c>
      <c r="E18" s="54"/>
      <c r="F18" s="54"/>
      <c r="G18" s="54"/>
      <c r="H18" s="54"/>
      <c r="I18" s="54">
        <f t="shared" si="0"/>
        <v>126128000</v>
      </c>
      <c r="J18" s="54"/>
      <c r="K18" s="54">
        <v>93097249</v>
      </c>
      <c r="L18" s="54">
        <v>33030751</v>
      </c>
      <c r="M18" s="55">
        <v>40991992</v>
      </c>
      <c r="N18" s="56">
        <v>49462103</v>
      </c>
      <c r="O18" s="56">
        <v>63227897</v>
      </c>
      <c r="P18" s="56">
        <f t="shared" si="1"/>
        <v>0</v>
      </c>
      <c r="Q18" s="57">
        <f t="shared" si="2"/>
        <v>26.188277781301533</v>
      </c>
      <c r="R18" s="100"/>
    </row>
    <row r="19" spans="1:18" ht="20.25">
      <c r="A19" s="59"/>
      <c r="B19" s="52" t="s">
        <v>29</v>
      </c>
      <c r="C19" s="53">
        <v>505</v>
      </c>
      <c r="D19" s="54">
        <v>130000000</v>
      </c>
      <c r="E19" s="54"/>
      <c r="F19" s="54">
        <v>10000000</v>
      </c>
      <c r="G19" s="54"/>
      <c r="H19" s="54"/>
      <c r="I19" s="54">
        <f t="shared" si="0"/>
        <v>140000000</v>
      </c>
      <c r="J19" s="54"/>
      <c r="K19" s="54">
        <v>89598170.92</v>
      </c>
      <c r="L19" s="54">
        <v>40401829.08</v>
      </c>
      <c r="M19" s="55">
        <v>47608924.52</v>
      </c>
      <c r="N19" s="56">
        <v>39772271.26</v>
      </c>
      <c r="O19" s="56">
        <v>69527728.74</v>
      </c>
      <c r="P19" s="56">
        <f t="shared" si="1"/>
        <v>10000000</v>
      </c>
      <c r="Q19" s="57">
        <f t="shared" si="2"/>
        <v>28.85844934285714</v>
      </c>
      <c r="R19" s="98"/>
    </row>
    <row r="20" spans="1:18" ht="20.25">
      <c r="A20" s="58"/>
      <c r="B20" s="60" t="s">
        <v>30</v>
      </c>
      <c r="C20" s="61"/>
      <c r="D20" s="62">
        <f>SUM(D5:D19)</f>
        <v>5492965000</v>
      </c>
      <c r="E20" s="62">
        <f>SUM(E5:E19)</f>
        <v>0</v>
      </c>
      <c r="F20" s="62">
        <f>SUM(F5:F19)</f>
        <v>-29584047.29</v>
      </c>
      <c r="G20" s="62"/>
      <c r="H20" s="62"/>
      <c r="I20" s="62">
        <f>SUM(I5:I19)</f>
        <v>5463380952.71</v>
      </c>
      <c r="J20" s="62">
        <f aca="true" t="shared" si="3" ref="J20:P20">SUM(J5:J19)</f>
        <v>0</v>
      </c>
      <c r="K20" s="62">
        <f t="shared" si="3"/>
        <v>3747373175.3500004</v>
      </c>
      <c r="L20" s="62">
        <f t="shared" si="3"/>
        <v>1355007777.36</v>
      </c>
      <c r="M20" s="62">
        <f t="shared" si="3"/>
        <v>1680766414</v>
      </c>
      <c r="N20" s="62">
        <f t="shared" si="3"/>
        <v>1708503280.3799999</v>
      </c>
      <c r="O20" s="62">
        <f t="shared" si="3"/>
        <v>2854482661.62</v>
      </c>
      <c r="P20" s="62">
        <f t="shared" si="3"/>
        <v>361000000</v>
      </c>
      <c r="Q20" s="63">
        <f>+L20/I20*100</f>
        <v>24.80163453891817</v>
      </c>
      <c r="R20" s="100"/>
    </row>
    <row r="21" spans="1:18" ht="20.25">
      <c r="A21" s="64" t="s">
        <v>31</v>
      </c>
      <c r="B21" s="52" t="s">
        <v>32</v>
      </c>
      <c r="C21" s="53">
        <v>10101</v>
      </c>
      <c r="D21" s="54">
        <v>62350000</v>
      </c>
      <c r="E21" s="54"/>
      <c r="F21" s="54">
        <v>-10500000</v>
      </c>
      <c r="G21" s="54"/>
      <c r="H21" s="54"/>
      <c r="I21" s="54">
        <f>SUM(D21:H21)</f>
        <v>51850000</v>
      </c>
      <c r="J21" s="54">
        <v>800000</v>
      </c>
      <c r="K21" s="54">
        <v>14172088.8</v>
      </c>
      <c r="L21" s="54">
        <v>4575938.4</v>
      </c>
      <c r="M21" s="55">
        <f aca="true" t="shared" si="4" ref="M21:M37">+I21-J21-K21-L21</f>
        <v>32301972.800000004</v>
      </c>
      <c r="N21" s="56">
        <v>14057000</v>
      </c>
      <c r="O21" s="56">
        <v>2441450</v>
      </c>
      <c r="P21" s="56">
        <f>+I21-J21-K21-L21</f>
        <v>32301972.800000004</v>
      </c>
      <c r="Q21" s="57">
        <f>+L21/I21*100</f>
        <v>8.82533924783028</v>
      </c>
      <c r="R21" s="98"/>
    </row>
    <row r="22" spans="1:18" ht="20.25">
      <c r="A22" s="65"/>
      <c r="B22" s="52" t="s">
        <v>33</v>
      </c>
      <c r="C22" s="53">
        <v>10104</v>
      </c>
      <c r="D22" s="54">
        <v>500000</v>
      </c>
      <c r="E22" s="54"/>
      <c r="F22" s="54"/>
      <c r="G22" s="54"/>
      <c r="H22" s="54"/>
      <c r="I22" s="54">
        <f aca="true" t="shared" si="5" ref="I22:I57">SUM(D22:H22)</f>
        <v>500000</v>
      </c>
      <c r="J22" s="54">
        <v>0</v>
      </c>
      <c r="K22" s="54">
        <v>0</v>
      </c>
      <c r="L22" s="54">
        <v>0</v>
      </c>
      <c r="M22" s="55">
        <f t="shared" si="4"/>
        <v>500000</v>
      </c>
      <c r="N22" s="56">
        <v>1389000</v>
      </c>
      <c r="O22" s="56">
        <v>1389000</v>
      </c>
      <c r="P22" s="56">
        <f aca="true" t="shared" si="6" ref="P22:P58">+I22-J22-K22-L22</f>
        <v>500000</v>
      </c>
      <c r="Q22" s="57">
        <v>0</v>
      </c>
      <c r="R22" s="100"/>
    </row>
    <row r="23" spans="1:18" ht="20.25">
      <c r="A23" s="65"/>
      <c r="B23" s="52" t="s">
        <v>34</v>
      </c>
      <c r="C23" s="53">
        <v>10199</v>
      </c>
      <c r="D23" s="54">
        <v>100000</v>
      </c>
      <c r="E23" s="54"/>
      <c r="F23" s="54"/>
      <c r="G23" s="54"/>
      <c r="H23" s="54"/>
      <c r="I23" s="54">
        <f t="shared" si="5"/>
        <v>100000</v>
      </c>
      <c r="J23" s="54">
        <v>0</v>
      </c>
      <c r="K23" s="54">
        <v>0</v>
      </c>
      <c r="L23" s="54">
        <v>0</v>
      </c>
      <c r="M23" s="55">
        <f t="shared" si="4"/>
        <v>100000</v>
      </c>
      <c r="N23" s="56">
        <v>1500000</v>
      </c>
      <c r="O23" s="56">
        <v>1042107.9</v>
      </c>
      <c r="P23" s="56">
        <f t="shared" si="6"/>
        <v>100000</v>
      </c>
      <c r="Q23" s="57">
        <f aca="true" t="shared" si="7" ref="Q23:Q29">+L23/I23*100</f>
        <v>0</v>
      </c>
      <c r="R23" s="98"/>
    </row>
    <row r="24" spans="1:18" ht="20.25">
      <c r="A24" s="65"/>
      <c r="B24" s="52" t="s">
        <v>35</v>
      </c>
      <c r="C24" s="53">
        <v>10201</v>
      </c>
      <c r="D24" s="54">
        <v>20500000</v>
      </c>
      <c r="E24" s="54"/>
      <c r="F24" s="54"/>
      <c r="G24" s="54"/>
      <c r="H24" s="54"/>
      <c r="I24" s="54">
        <f t="shared" si="5"/>
        <v>20500000</v>
      </c>
      <c r="J24" s="54">
        <v>0</v>
      </c>
      <c r="K24" s="54">
        <v>1321867</v>
      </c>
      <c r="L24" s="54">
        <v>8678133</v>
      </c>
      <c r="M24" s="55">
        <f t="shared" si="4"/>
        <v>10500000</v>
      </c>
      <c r="N24" s="56">
        <v>8587000</v>
      </c>
      <c r="O24" s="56">
        <v>0</v>
      </c>
      <c r="P24" s="56">
        <f t="shared" si="6"/>
        <v>10500000</v>
      </c>
      <c r="Q24" s="57">
        <f t="shared" si="7"/>
        <v>42.332356097560975</v>
      </c>
      <c r="R24" s="98"/>
    </row>
    <row r="25" spans="1:18" ht="20.25">
      <c r="A25" s="65"/>
      <c r="B25" s="52" t="s">
        <v>36</v>
      </c>
      <c r="C25" s="53">
        <v>10202</v>
      </c>
      <c r="D25" s="54">
        <v>28049000</v>
      </c>
      <c r="E25" s="54"/>
      <c r="F25" s="54"/>
      <c r="G25" s="54"/>
      <c r="H25" s="54"/>
      <c r="I25" s="54">
        <f t="shared" si="5"/>
        <v>28049000</v>
      </c>
      <c r="J25" s="54">
        <v>0</v>
      </c>
      <c r="K25" s="54">
        <v>7906509.38</v>
      </c>
      <c r="L25" s="54">
        <v>6093490.62</v>
      </c>
      <c r="M25" s="55">
        <f t="shared" si="4"/>
        <v>14049000</v>
      </c>
      <c r="N25" s="56">
        <v>12507000</v>
      </c>
      <c r="O25" s="56">
        <v>0</v>
      </c>
      <c r="P25" s="56">
        <f t="shared" si="6"/>
        <v>14049000</v>
      </c>
      <c r="Q25" s="57">
        <f t="shared" si="7"/>
        <v>21.72444871474919</v>
      </c>
      <c r="R25" s="98"/>
    </row>
    <row r="26" spans="1:18" ht="20.25">
      <c r="A26" s="65"/>
      <c r="B26" s="52" t="s">
        <v>37</v>
      </c>
      <c r="C26" s="53">
        <v>10203</v>
      </c>
      <c r="D26" s="54">
        <v>9500000</v>
      </c>
      <c r="E26" s="54"/>
      <c r="F26" s="54"/>
      <c r="G26" s="54"/>
      <c r="H26" s="54"/>
      <c r="I26" s="54">
        <f t="shared" si="5"/>
        <v>9500000</v>
      </c>
      <c r="J26" s="54">
        <v>0</v>
      </c>
      <c r="K26" s="54">
        <v>3360155</v>
      </c>
      <c r="L26" s="54">
        <v>1189845</v>
      </c>
      <c r="M26" s="55">
        <f t="shared" si="4"/>
        <v>4950000</v>
      </c>
      <c r="N26" s="56">
        <v>3820000</v>
      </c>
      <c r="O26" s="56">
        <v>570000</v>
      </c>
      <c r="P26" s="56">
        <f t="shared" si="6"/>
        <v>4950000</v>
      </c>
      <c r="Q26" s="57">
        <f t="shared" si="7"/>
        <v>12.524684210526315</v>
      </c>
      <c r="R26" s="98"/>
    </row>
    <row r="27" spans="1:18" ht="20.25">
      <c r="A27" s="65"/>
      <c r="B27" s="52" t="s">
        <v>38</v>
      </c>
      <c r="C27" s="53">
        <v>10204</v>
      </c>
      <c r="D27" s="54">
        <v>54500000</v>
      </c>
      <c r="E27" s="54"/>
      <c r="F27" s="54"/>
      <c r="G27" s="54"/>
      <c r="H27" s="54"/>
      <c r="I27" s="54">
        <f t="shared" si="5"/>
        <v>54500000</v>
      </c>
      <c r="J27" s="54">
        <v>7145000</v>
      </c>
      <c r="K27" s="54">
        <v>14223414</v>
      </c>
      <c r="L27" s="54">
        <v>13126542.92</v>
      </c>
      <c r="M27" s="55">
        <f t="shared" si="4"/>
        <v>20005043.08</v>
      </c>
      <c r="N27" s="56">
        <v>16962000</v>
      </c>
      <c r="O27" s="56">
        <v>0</v>
      </c>
      <c r="P27" s="56">
        <f t="shared" si="6"/>
        <v>20005043.08</v>
      </c>
      <c r="Q27" s="57">
        <f t="shared" si="7"/>
        <v>24.08539985321101</v>
      </c>
      <c r="R27" s="100"/>
    </row>
    <row r="28" spans="1:18" ht="20.25">
      <c r="A28" s="65"/>
      <c r="B28" s="52" t="s">
        <v>39</v>
      </c>
      <c r="C28" s="53">
        <v>10299</v>
      </c>
      <c r="D28" s="54">
        <v>1500000</v>
      </c>
      <c r="E28" s="54"/>
      <c r="F28" s="54"/>
      <c r="G28" s="54"/>
      <c r="H28" s="54"/>
      <c r="I28" s="54">
        <f t="shared" si="5"/>
        <v>1500000</v>
      </c>
      <c r="J28" s="54">
        <v>200000</v>
      </c>
      <c r="K28" s="54">
        <v>337886.94</v>
      </c>
      <c r="L28" s="54">
        <v>441106.4</v>
      </c>
      <c r="M28" s="55">
        <f t="shared" si="4"/>
        <v>521006.66000000003</v>
      </c>
      <c r="N28" s="56">
        <v>640000</v>
      </c>
      <c r="O28" s="56">
        <v>0</v>
      </c>
      <c r="P28" s="56">
        <f t="shared" si="6"/>
        <v>521006.66000000003</v>
      </c>
      <c r="Q28" s="57">
        <f t="shared" si="7"/>
        <v>29.407093333333336</v>
      </c>
      <c r="R28" s="100"/>
    </row>
    <row r="29" spans="1:18" ht="20.25">
      <c r="A29" s="65"/>
      <c r="B29" s="52" t="s">
        <v>40</v>
      </c>
      <c r="C29" s="53">
        <v>10301</v>
      </c>
      <c r="D29" s="54">
        <v>6000000</v>
      </c>
      <c r="E29" s="54"/>
      <c r="F29" s="54">
        <v>-500000</v>
      </c>
      <c r="G29" s="54"/>
      <c r="H29" s="54"/>
      <c r="I29" s="54">
        <f t="shared" si="5"/>
        <v>5500000</v>
      </c>
      <c r="J29" s="54">
        <v>0</v>
      </c>
      <c r="K29" s="54">
        <v>1898700</v>
      </c>
      <c r="L29" s="54">
        <v>1101300</v>
      </c>
      <c r="M29" s="55">
        <f t="shared" si="4"/>
        <v>2500000</v>
      </c>
      <c r="N29" s="56">
        <v>1000000</v>
      </c>
      <c r="O29" s="56">
        <v>0</v>
      </c>
      <c r="P29" s="56">
        <f t="shared" si="6"/>
        <v>2500000</v>
      </c>
      <c r="Q29" s="57">
        <f t="shared" si="7"/>
        <v>20.023636363636363</v>
      </c>
      <c r="R29" s="100"/>
    </row>
    <row r="30" spans="1:18" ht="20.25">
      <c r="A30" s="65"/>
      <c r="B30" s="52" t="s">
        <v>111</v>
      </c>
      <c r="C30" s="53">
        <v>10302</v>
      </c>
      <c r="D30" s="54">
        <v>0</v>
      </c>
      <c r="E30" s="54"/>
      <c r="F30" s="54"/>
      <c r="G30" s="54"/>
      <c r="H30" s="54"/>
      <c r="I30" s="54">
        <f t="shared" si="5"/>
        <v>0</v>
      </c>
      <c r="J30" s="54"/>
      <c r="K30" s="54"/>
      <c r="L30" s="54"/>
      <c r="M30" s="55">
        <f t="shared" si="4"/>
        <v>0</v>
      </c>
      <c r="N30" s="56"/>
      <c r="O30" s="56"/>
      <c r="P30" s="56">
        <f t="shared" si="6"/>
        <v>0</v>
      </c>
      <c r="Q30" s="57">
        <v>0</v>
      </c>
      <c r="R30" s="100"/>
    </row>
    <row r="31" spans="1:18" ht="20.25">
      <c r="A31" s="65"/>
      <c r="B31" s="52" t="s">
        <v>41</v>
      </c>
      <c r="C31" s="53">
        <v>10303</v>
      </c>
      <c r="D31" s="54">
        <v>4000000</v>
      </c>
      <c r="E31" s="54"/>
      <c r="F31" s="54"/>
      <c r="G31" s="54"/>
      <c r="H31" s="54"/>
      <c r="I31" s="54">
        <f t="shared" si="5"/>
        <v>4000000</v>
      </c>
      <c r="J31" s="54">
        <v>0</v>
      </c>
      <c r="K31" s="54">
        <v>0</v>
      </c>
      <c r="L31" s="54">
        <v>398526.72</v>
      </c>
      <c r="M31" s="55">
        <f t="shared" si="4"/>
        <v>3601473.2800000003</v>
      </c>
      <c r="N31" s="56">
        <v>5000000</v>
      </c>
      <c r="O31" s="56">
        <v>4700000</v>
      </c>
      <c r="P31" s="56">
        <f t="shared" si="6"/>
        <v>3601473.2800000003</v>
      </c>
      <c r="Q31" s="57">
        <f>+L31/I31*100</f>
        <v>9.963167999999998</v>
      </c>
      <c r="R31" s="100"/>
    </row>
    <row r="32" spans="1:18" ht="20.25">
      <c r="A32" s="65"/>
      <c r="B32" s="52" t="s">
        <v>42</v>
      </c>
      <c r="C32" s="53">
        <v>10304</v>
      </c>
      <c r="D32" s="54">
        <v>250000</v>
      </c>
      <c r="E32" s="54"/>
      <c r="F32" s="54">
        <v>500000</v>
      </c>
      <c r="G32" s="54"/>
      <c r="H32" s="54"/>
      <c r="I32" s="54">
        <f t="shared" si="5"/>
        <v>750000</v>
      </c>
      <c r="J32" s="54">
        <v>0</v>
      </c>
      <c r="K32" s="54">
        <v>7000</v>
      </c>
      <c r="L32" s="54">
        <v>78000</v>
      </c>
      <c r="M32" s="55">
        <f t="shared" si="4"/>
        <v>665000</v>
      </c>
      <c r="N32" s="56">
        <v>71600</v>
      </c>
      <c r="O32" s="56">
        <v>0</v>
      </c>
      <c r="P32" s="56">
        <f t="shared" si="6"/>
        <v>665000</v>
      </c>
      <c r="Q32" s="57">
        <f>+L32/I32*100</f>
        <v>10.4</v>
      </c>
      <c r="R32" s="98"/>
    </row>
    <row r="33" spans="1:18" ht="20.25">
      <c r="A33" s="65"/>
      <c r="B33" s="52" t="s">
        <v>43</v>
      </c>
      <c r="C33" s="53">
        <v>10306</v>
      </c>
      <c r="D33" s="54">
        <v>2000000</v>
      </c>
      <c r="E33" s="54"/>
      <c r="F33" s="54"/>
      <c r="G33" s="54"/>
      <c r="H33" s="54"/>
      <c r="I33" s="54">
        <f t="shared" si="5"/>
        <v>2000000</v>
      </c>
      <c r="J33" s="54">
        <v>0</v>
      </c>
      <c r="K33" s="54">
        <v>316564.05</v>
      </c>
      <c r="L33" s="54">
        <v>683435.95</v>
      </c>
      <c r="M33" s="55">
        <f t="shared" si="4"/>
        <v>1000000</v>
      </c>
      <c r="N33" s="56">
        <v>87000</v>
      </c>
      <c r="O33" s="56">
        <v>87000</v>
      </c>
      <c r="P33" s="56">
        <f t="shared" si="6"/>
        <v>1000000</v>
      </c>
      <c r="Q33" s="57">
        <f>+L33/I33*100</f>
        <v>34.1717975</v>
      </c>
      <c r="R33" s="98"/>
    </row>
    <row r="34" spans="1:18" ht="36">
      <c r="A34" s="65"/>
      <c r="B34" s="52" t="s">
        <v>44</v>
      </c>
      <c r="C34" s="53">
        <v>10307</v>
      </c>
      <c r="D34" s="54">
        <v>18500000</v>
      </c>
      <c r="E34" s="54"/>
      <c r="F34" s="54"/>
      <c r="G34" s="54"/>
      <c r="H34" s="54"/>
      <c r="I34" s="54">
        <f t="shared" si="5"/>
        <v>18500000</v>
      </c>
      <c r="J34" s="54">
        <v>0</v>
      </c>
      <c r="K34" s="54">
        <v>1742583.25</v>
      </c>
      <c r="L34" s="54">
        <v>2757416.75</v>
      </c>
      <c r="M34" s="55">
        <f t="shared" si="4"/>
        <v>14000000</v>
      </c>
      <c r="N34" s="56">
        <v>3500000</v>
      </c>
      <c r="O34" s="56">
        <v>1700000</v>
      </c>
      <c r="P34" s="56">
        <f t="shared" si="6"/>
        <v>14000000</v>
      </c>
      <c r="Q34" s="57">
        <f>+L34/I34*100</f>
        <v>14.904955405405406</v>
      </c>
      <c r="R34" s="100"/>
    </row>
    <row r="35" spans="1:18" ht="20.25">
      <c r="A35" s="65"/>
      <c r="B35" s="52" t="s">
        <v>281</v>
      </c>
      <c r="C35" s="53">
        <v>10401</v>
      </c>
      <c r="D35" s="54">
        <v>200000</v>
      </c>
      <c r="E35" s="54"/>
      <c r="F35" s="54"/>
      <c r="G35" s="54"/>
      <c r="H35" s="54"/>
      <c r="I35" s="54">
        <f t="shared" si="5"/>
        <v>200000</v>
      </c>
      <c r="J35" s="54">
        <v>0</v>
      </c>
      <c r="K35" s="54">
        <v>60000</v>
      </c>
      <c r="L35" s="54">
        <v>0</v>
      </c>
      <c r="M35" s="55"/>
      <c r="N35" s="56"/>
      <c r="O35" s="56"/>
      <c r="P35" s="56">
        <f t="shared" si="6"/>
        <v>140000</v>
      </c>
      <c r="Q35" s="57">
        <f>+L35/I35*100</f>
        <v>0</v>
      </c>
      <c r="R35" s="98"/>
    </row>
    <row r="36" spans="1:18" ht="20.25">
      <c r="A36" s="65"/>
      <c r="B36" s="52" t="s">
        <v>115</v>
      </c>
      <c r="C36" s="53">
        <v>10403</v>
      </c>
      <c r="D36" s="54">
        <v>0</v>
      </c>
      <c r="E36" s="54"/>
      <c r="F36" s="54"/>
      <c r="G36" s="54"/>
      <c r="H36" s="54"/>
      <c r="I36" s="54">
        <f t="shared" si="5"/>
        <v>0</v>
      </c>
      <c r="J36" s="54"/>
      <c r="K36" s="54"/>
      <c r="L36" s="54"/>
      <c r="M36" s="55">
        <f t="shared" si="4"/>
        <v>0</v>
      </c>
      <c r="N36" s="56"/>
      <c r="O36" s="56"/>
      <c r="P36" s="56">
        <f t="shared" si="6"/>
        <v>0</v>
      </c>
      <c r="Q36" s="57">
        <v>0</v>
      </c>
      <c r="R36" s="98"/>
    </row>
    <row r="37" spans="1:18" ht="20.25">
      <c r="A37" s="65"/>
      <c r="B37" s="52" t="s">
        <v>283</v>
      </c>
      <c r="C37" s="53">
        <v>10404</v>
      </c>
      <c r="D37" s="54">
        <v>0</v>
      </c>
      <c r="E37" s="54"/>
      <c r="F37" s="54"/>
      <c r="G37" s="54"/>
      <c r="H37" s="54"/>
      <c r="I37" s="54">
        <f t="shared" si="5"/>
        <v>0</v>
      </c>
      <c r="J37" s="54"/>
      <c r="K37" s="54"/>
      <c r="L37" s="54"/>
      <c r="M37" s="55">
        <f t="shared" si="4"/>
        <v>0</v>
      </c>
      <c r="N37" s="56"/>
      <c r="O37" s="56"/>
      <c r="P37" s="56">
        <f t="shared" si="6"/>
        <v>0</v>
      </c>
      <c r="Q37" s="57">
        <v>0</v>
      </c>
      <c r="R37" s="100"/>
    </row>
    <row r="38" spans="1:18" ht="36">
      <c r="A38" s="65"/>
      <c r="B38" s="52" t="s">
        <v>45</v>
      </c>
      <c r="C38" s="53">
        <v>10405</v>
      </c>
      <c r="D38" s="54">
        <v>96000000</v>
      </c>
      <c r="E38" s="54"/>
      <c r="F38" s="54"/>
      <c r="G38" s="54"/>
      <c r="H38" s="54"/>
      <c r="I38" s="54">
        <f t="shared" si="5"/>
        <v>96000000</v>
      </c>
      <c r="J38" s="54">
        <v>75000000</v>
      </c>
      <c r="K38" s="54">
        <v>0</v>
      </c>
      <c r="L38" s="54">
        <v>0</v>
      </c>
      <c r="M38" s="55">
        <f aca="true" t="shared" si="8" ref="M38:M57">+I37-J38-K38-L38</f>
        <v>-75000000</v>
      </c>
      <c r="N38" s="56">
        <v>10000000</v>
      </c>
      <c r="O38" s="56">
        <v>10000000</v>
      </c>
      <c r="P38" s="56">
        <f t="shared" si="6"/>
        <v>21000000</v>
      </c>
      <c r="Q38" s="57">
        <f aca="true" t="shared" si="9" ref="Q38:Q55">+L38/I38*100</f>
        <v>0</v>
      </c>
      <c r="R38" s="98"/>
    </row>
    <row r="39" spans="1:18" ht="20.25">
      <c r="A39" s="65"/>
      <c r="B39" s="52" t="s">
        <v>46</v>
      </c>
      <c r="C39" s="53">
        <v>10406</v>
      </c>
      <c r="D39" s="54">
        <v>106000000</v>
      </c>
      <c r="E39" s="54"/>
      <c r="F39" s="54"/>
      <c r="G39" s="54"/>
      <c r="H39" s="54"/>
      <c r="I39" s="54">
        <f t="shared" si="5"/>
        <v>106000000</v>
      </c>
      <c r="J39" s="54">
        <v>4050000</v>
      </c>
      <c r="K39" s="54">
        <v>43091589.03</v>
      </c>
      <c r="L39" s="54">
        <v>9213513.19</v>
      </c>
      <c r="M39" s="55">
        <f t="shared" si="8"/>
        <v>39644897.78</v>
      </c>
      <c r="N39" s="56">
        <v>54432000</v>
      </c>
      <c r="O39" s="56">
        <v>9675628.23</v>
      </c>
      <c r="P39" s="56">
        <f t="shared" si="6"/>
        <v>49644897.78</v>
      </c>
      <c r="Q39" s="57">
        <f t="shared" si="9"/>
        <v>8.691993575471697</v>
      </c>
      <c r="R39" s="98"/>
    </row>
    <row r="40" spans="1:18" ht="20.25">
      <c r="A40" s="65"/>
      <c r="B40" s="52" t="s">
        <v>47</v>
      </c>
      <c r="C40" s="53">
        <v>10499</v>
      </c>
      <c r="D40" s="54">
        <v>6000000</v>
      </c>
      <c r="E40" s="54"/>
      <c r="F40" s="54"/>
      <c r="G40" s="54"/>
      <c r="H40" s="54"/>
      <c r="I40" s="54">
        <f t="shared" si="5"/>
        <v>6000000</v>
      </c>
      <c r="J40" s="54">
        <v>0</v>
      </c>
      <c r="K40" s="54">
        <v>1037840</v>
      </c>
      <c r="L40" s="54">
        <v>212160</v>
      </c>
      <c r="M40" s="55">
        <f t="shared" si="8"/>
        <v>104750000</v>
      </c>
      <c r="N40" s="56">
        <v>6980000</v>
      </c>
      <c r="O40" s="56">
        <v>4194154.28</v>
      </c>
      <c r="P40" s="56">
        <f t="shared" si="6"/>
        <v>4750000</v>
      </c>
      <c r="Q40" s="57">
        <f t="shared" si="9"/>
        <v>3.5360000000000005</v>
      </c>
      <c r="R40" s="98"/>
    </row>
    <row r="41" spans="1:18" ht="20.25">
      <c r="A41" s="65"/>
      <c r="B41" s="52" t="s">
        <v>48</v>
      </c>
      <c r="C41" s="53">
        <v>10501</v>
      </c>
      <c r="D41" s="54">
        <v>2000000</v>
      </c>
      <c r="E41" s="54"/>
      <c r="F41" s="54"/>
      <c r="G41" s="54"/>
      <c r="H41" s="54"/>
      <c r="I41" s="54">
        <f t="shared" si="5"/>
        <v>2000000</v>
      </c>
      <c r="J41" s="54">
        <v>0</v>
      </c>
      <c r="K41" s="54">
        <v>318290</v>
      </c>
      <c r="L41" s="54">
        <v>181710</v>
      </c>
      <c r="M41" s="55">
        <f t="shared" si="8"/>
        <v>5500000</v>
      </c>
      <c r="N41" s="56">
        <v>2000000</v>
      </c>
      <c r="O41" s="56">
        <v>768582.2</v>
      </c>
      <c r="P41" s="56">
        <f t="shared" si="6"/>
        <v>1500000</v>
      </c>
      <c r="Q41" s="57">
        <f t="shared" si="9"/>
        <v>9.0855</v>
      </c>
      <c r="R41" s="98"/>
    </row>
    <row r="42" spans="1:18" ht="20.25">
      <c r="A42" s="65"/>
      <c r="B42" s="52" t="s">
        <v>49</v>
      </c>
      <c r="C42" s="53">
        <v>10502</v>
      </c>
      <c r="D42" s="54">
        <v>25000000</v>
      </c>
      <c r="E42" s="54"/>
      <c r="F42" s="54"/>
      <c r="G42" s="54"/>
      <c r="H42" s="54"/>
      <c r="I42" s="54">
        <f t="shared" si="5"/>
        <v>25000000</v>
      </c>
      <c r="J42" s="54">
        <v>0</v>
      </c>
      <c r="K42" s="54">
        <v>2269618.21</v>
      </c>
      <c r="L42" s="54">
        <v>3670293.79</v>
      </c>
      <c r="M42" s="55">
        <f t="shared" si="8"/>
        <v>-3939912</v>
      </c>
      <c r="N42" s="56">
        <v>17500000</v>
      </c>
      <c r="O42" s="56">
        <v>6419663</v>
      </c>
      <c r="P42" s="56">
        <f t="shared" si="6"/>
        <v>19060088</v>
      </c>
      <c r="Q42" s="57">
        <f t="shared" si="9"/>
        <v>14.68117516</v>
      </c>
      <c r="R42" s="98"/>
    </row>
    <row r="43" spans="1:18" ht="20.25">
      <c r="A43" s="65"/>
      <c r="B43" s="52" t="s">
        <v>50</v>
      </c>
      <c r="C43" s="53">
        <v>10503</v>
      </c>
      <c r="D43" s="54">
        <v>3000000</v>
      </c>
      <c r="E43" s="54"/>
      <c r="F43" s="54"/>
      <c r="G43" s="54"/>
      <c r="H43" s="54"/>
      <c r="I43" s="54">
        <f t="shared" si="5"/>
        <v>3000000</v>
      </c>
      <c r="J43" s="54">
        <v>39488.37</v>
      </c>
      <c r="K43" s="54">
        <v>1673863.7</v>
      </c>
      <c r="L43" s="54">
        <v>0</v>
      </c>
      <c r="M43" s="55">
        <f t="shared" si="8"/>
        <v>23286647.93</v>
      </c>
      <c r="N43" s="56">
        <v>2000000</v>
      </c>
      <c r="O43" s="56">
        <v>1430000</v>
      </c>
      <c r="P43" s="56">
        <f t="shared" si="6"/>
        <v>1286647.93</v>
      </c>
      <c r="Q43" s="57">
        <f t="shared" si="9"/>
        <v>0</v>
      </c>
      <c r="R43" s="100"/>
    </row>
    <row r="44" spans="1:18" ht="20.25">
      <c r="A44" s="65"/>
      <c r="B44" s="52" t="s">
        <v>51</v>
      </c>
      <c r="C44" s="53">
        <v>10504</v>
      </c>
      <c r="D44" s="54">
        <v>4500000</v>
      </c>
      <c r="E44" s="54"/>
      <c r="F44" s="54"/>
      <c r="G44" s="54"/>
      <c r="H44" s="54"/>
      <c r="I44" s="54">
        <f t="shared" si="5"/>
        <v>4500000</v>
      </c>
      <c r="J44" s="54">
        <v>0</v>
      </c>
      <c r="K44" s="54">
        <v>1517615.17</v>
      </c>
      <c r="L44" s="54">
        <v>1189963.54</v>
      </c>
      <c r="M44" s="55">
        <f t="shared" si="8"/>
        <v>292421.29000000004</v>
      </c>
      <c r="N44" s="56">
        <v>3000000</v>
      </c>
      <c r="O44" s="56">
        <v>3000000</v>
      </c>
      <c r="P44" s="56">
        <f t="shared" si="6"/>
        <v>1792421.29</v>
      </c>
      <c r="Q44" s="57">
        <f t="shared" si="9"/>
        <v>26.443634222222222</v>
      </c>
      <c r="R44" s="98"/>
    </row>
    <row r="45" spans="1:18" ht="20.25">
      <c r="A45" s="65"/>
      <c r="B45" s="52" t="s">
        <v>52</v>
      </c>
      <c r="C45" s="53">
        <v>10601</v>
      </c>
      <c r="D45" s="54">
        <v>38000000</v>
      </c>
      <c r="E45" s="54"/>
      <c r="F45" s="54"/>
      <c r="G45" s="54"/>
      <c r="H45" s="54"/>
      <c r="I45" s="54">
        <f t="shared" si="5"/>
        <v>38000000</v>
      </c>
      <c r="J45" s="54">
        <v>0</v>
      </c>
      <c r="K45" s="54">
        <v>11442636</v>
      </c>
      <c r="L45" s="54">
        <v>18557364</v>
      </c>
      <c r="M45" s="55">
        <f t="shared" si="8"/>
        <v>-25500000</v>
      </c>
      <c r="N45" s="56">
        <v>35400000</v>
      </c>
      <c r="O45" s="56">
        <v>0</v>
      </c>
      <c r="P45" s="56">
        <f t="shared" si="6"/>
        <v>8000000</v>
      </c>
      <c r="Q45" s="57">
        <f t="shared" si="9"/>
        <v>48.835168421052636</v>
      </c>
      <c r="R45" s="98"/>
    </row>
    <row r="46" spans="1:18" ht="20.25">
      <c r="A46" s="65"/>
      <c r="B46" s="52" t="s">
        <v>53</v>
      </c>
      <c r="C46" s="53">
        <v>10701</v>
      </c>
      <c r="D46" s="54">
        <v>10000000</v>
      </c>
      <c r="E46" s="54"/>
      <c r="F46" s="54"/>
      <c r="G46" s="54"/>
      <c r="H46" s="54"/>
      <c r="I46" s="54">
        <f t="shared" si="5"/>
        <v>10000000</v>
      </c>
      <c r="J46" s="54">
        <v>4175000</v>
      </c>
      <c r="K46" s="54">
        <v>1704827.11</v>
      </c>
      <c r="L46" s="54">
        <v>682411.39</v>
      </c>
      <c r="M46" s="55">
        <f t="shared" si="8"/>
        <v>31437761.5</v>
      </c>
      <c r="N46" s="56">
        <v>4000000</v>
      </c>
      <c r="O46" s="56">
        <v>1634836</v>
      </c>
      <c r="P46" s="56">
        <f t="shared" si="6"/>
        <v>3437761.4999999995</v>
      </c>
      <c r="Q46" s="57">
        <f t="shared" si="9"/>
        <v>6.8241139</v>
      </c>
      <c r="R46" s="98"/>
    </row>
    <row r="47" spans="1:18" ht="20.25">
      <c r="A47" s="65"/>
      <c r="B47" s="52" t="s">
        <v>54</v>
      </c>
      <c r="C47" s="53">
        <v>10702</v>
      </c>
      <c r="D47" s="54">
        <v>3000000</v>
      </c>
      <c r="E47" s="54"/>
      <c r="F47" s="54"/>
      <c r="G47" s="54"/>
      <c r="H47" s="54"/>
      <c r="I47" s="54">
        <f t="shared" si="5"/>
        <v>3000000</v>
      </c>
      <c r="J47" s="54">
        <v>1280700</v>
      </c>
      <c r="K47" s="54">
        <v>134980</v>
      </c>
      <c r="L47" s="54">
        <v>14520</v>
      </c>
      <c r="M47" s="55">
        <f t="shared" si="8"/>
        <v>8569800</v>
      </c>
      <c r="N47" s="56">
        <v>3000000</v>
      </c>
      <c r="O47" s="56">
        <v>2368530</v>
      </c>
      <c r="P47" s="56">
        <f t="shared" si="6"/>
        <v>1569800</v>
      </c>
      <c r="Q47" s="57">
        <f t="shared" si="9"/>
        <v>0.484</v>
      </c>
      <c r="R47" s="98"/>
    </row>
    <row r="48" spans="1:18" ht="20.25">
      <c r="A48" s="65"/>
      <c r="B48" s="52" t="s">
        <v>55</v>
      </c>
      <c r="C48" s="53">
        <v>10703</v>
      </c>
      <c r="D48" s="54">
        <v>200000</v>
      </c>
      <c r="E48" s="54"/>
      <c r="F48" s="54"/>
      <c r="G48" s="54"/>
      <c r="H48" s="54"/>
      <c r="I48" s="54">
        <f t="shared" si="5"/>
        <v>200000</v>
      </c>
      <c r="J48" s="54">
        <v>0</v>
      </c>
      <c r="K48" s="54">
        <v>0</v>
      </c>
      <c r="L48" s="54">
        <v>0</v>
      </c>
      <c r="M48" s="55">
        <f t="shared" si="8"/>
        <v>3000000</v>
      </c>
      <c r="N48" s="56">
        <v>500000</v>
      </c>
      <c r="O48" s="56">
        <v>0</v>
      </c>
      <c r="P48" s="56">
        <f t="shared" si="6"/>
        <v>200000</v>
      </c>
      <c r="Q48" s="57">
        <f t="shared" si="9"/>
        <v>0</v>
      </c>
      <c r="R48" s="98"/>
    </row>
    <row r="49" spans="1:18" ht="20.25">
      <c r="A49" s="65"/>
      <c r="B49" s="52" t="s">
        <v>56</v>
      </c>
      <c r="C49" s="53">
        <v>10801</v>
      </c>
      <c r="D49" s="54">
        <v>27000000</v>
      </c>
      <c r="E49" s="54"/>
      <c r="F49" s="54"/>
      <c r="G49" s="54"/>
      <c r="H49" s="54"/>
      <c r="I49" s="54">
        <f t="shared" si="5"/>
        <v>27000000</v>
      </c>
      <c r="J49" s="54">
        <v>10000000</v>
      </c>
      <c r="K49" s="54">
        <v>4470900</v>
      </c>
      <c r="L49" s="54">
        <v>0</v>
      </c>
      <c r="M49" s="55">
        <f t="shared" si="8"/>
        <v>-14270900</v>
      </c>
      <c r="N49" s="56">
        <v>28000000</v>
      </c>
      <c r="O49" s="56">
        <v>22343000</v>
      </c>
      <c r="P49" s="56">
        <f t="shared" si="6"/>
        <v>12529100</v>
      </c>
      <c r="Q49" s="57">
        <f t="shared" si="9"/>
        <v>0</v>
      </c>
      <c r="R49" s="98"/>
    </row>
    <row r="50" spans="1:18" ht="20.25">
      <c r="A50" s="65"/>
      <c r="B50" s="52" t="s">
        <v>57</v>
      </c>
      <c r="C50" s="53">
        <v>10804</v>
      </c>
      <c r="D50" s="54">
        <v>5600000</v>
      </c>
      <c r="E50" s="54"/>
      <c r="F50" s="54">
        <v>2500000</v>
      </c>
      <c r="G50" s="54"/>
      <c r="H50" s="54"/>
      <c r="I50" s="54">
        <f t="shared" si="5"/>
        <v>8100000</v>
      </c>
      <c r="J50" s="54">
        <v>0</v>
      </c>
      <c r="K50" s="54">
        <v>0</v>
      </c>
      <c r="L50" s="54">
        <v>0</v>
      </c>
      <c r="M50" s="55">
        <f t="shared" si="8"/>
        <v>27000000</v>
      </c>
      <c r="N50" s="56">
        <v>3200000</v>
      </c>
      <c r="O50" s="56">
        <v>0</v>
      </c>
      <c r="P50" s="56">
        <f t="shared" si="6"/>
        <v>8100000</v>
      </c>
      <c r="Q50" s="57">
        <f t="shared" si="9"/>
        <v>0</v>
      </c>
      <c r="R50" s="100"/>
    </row>
    <row r="51" spans="1:18" ht="20.25">
      <c r="A51" s="65"/>
      <c r="B51" s="52" t="s">
        <v>58</v>
      </c>
      <c r="C51" s="53">
        <v>10805</v>
      </c>
      <c r="D51" s="54">
        <v>11000000</v>
      </c>
      <c r="E51" s="54"/>
      <c r="F51" s="54"/>
      <c r="G51" s="54"/>
      <c r="H51" s="54"/>
      <c r="I51" s="54">
        <f t="shared" si="5"/>
        <v>11000000</v>
      </c>
      <c r="J51" s="54">
        <v>1500000</v>
      </c>
      <c r="K51" s="54">
        <v>1449900</v>
      </c>
      <c r="L51" s="54">
        <v>150100</v>
      </c>
      <c r="M51" s="55">
        <f t="shared" si="8"/>
        <v>5000000</v>
      </c>
      <c r="N51" s="56">
        <v>3412000</v>
      </c>
      <c r="O51" s="56">
        <v>0</v>
      </c>
      <c r="P51" s="56">
        <f t="shared" si="6"/>
        <v>7900000</v>
      </c>
      <c r="Q51" s="57">
        <f t="shared" si="9"/>
        <v>1.3645454545454545</v>
      </c>
      <c r="R51" s="100"/>
    </row>
    <row r="52" spans="1:18" ht="20.25">
      <c r="A52" s="65"/>
      <c r="B52" s="52" t="s">
        <v>59</v>
      </c>
      <c r="C52" s="53">
        <v>10806</v>
      </c>
      <c r="D52" s="54">
        <v>750000</v>
      </c>
      <c r="E52" s="54"/>
      <c r="F52" s="54"/>
      <c r="G52" s="54"/>
      <c r="H52" s="54"/>
      <c r="I52" s="54">
        <f t="shared" si="5"/>
        <v>750000</v>
      </c>
      <c r="J52" s="54">
        <v>0</v>
      </c>
      <c r="K52" s="54">
        <v>22400</v>
      </c>
      <c r="L52" s="54">
        <v>27600</v>
      </c>
      <c r="M52" s="55">
        <f t="shared" si="8"/>
        <v>10950000</v>
      </c>
      <c r="N52" s="56">
        <v>1250000</v>
      </c>
      <c r="O52" s="56">
        <v>1200000</v>
      </c>
      <c r="P52" s="56">
        <f t="shared" si="6"/>
        <v>700000</v>
      </c>
      <c r="Q52" s="57">
        <f t="shared" si="9"/>
        <v>3.6799999999999997</v>
      </c>
      <c r="R52" s="98"/>
    </row>
    <row r="53" spans="1:18" ht="20.25">
      <c r="A53" s="65"/>
      <c r="B53" s="52" t="s">
        <v>60</v>
      </c>
      <c r="C53" s="53">
        <v>10807</v>
      </c>
      <c r="D53" s="54">
        <v>3500000</v>
      </c>
      <c r="E53" s="54"/>
      <c r="F53" s="54">
        <v>2500000</v>
      </c>
      <c r="G53" s="54"/>
      <c r="H53" s="54"/>
      <c r="I53" s="54">
        <f t="shared" si="5"/>
        <v>6000000</v>
      </c>
      <c r="J53" s="54">
        <v>400000</v>
      </c>
      <c r="K53" s="54">
        <v>304439.25</v>
      </c>
      <c r="L53" s="54">
        <v>22893.6</v>
      </c>
      <c r="M53" s="55">
        <f t="shared" si="8"/>
        <v>22667.15</v>
      </c>
      <c r="N53" s="56">
        <v>2600000</v>
      </c>
      <c r="O53" s="56">
        <v>616428.59</v>
      </c>
      <c r="P53" s="56">
        <f t="shared" si="6"/>
        <v>5272667.15</v>
      </c>
      <c r="Q53" s="57">
        <f t="shared" si="9"/>
        <v>0.38155999999999995</v>
      </c>
      <c r="R53" s="98"/>
    </row>
    <row r="54" spans="1:18" ht="20.25">
      <c r="A54" s="65"/>
      <c r="B54" s="52" t="s">
        <v>61</v>
      </c>
      <c r="C54" s="53">
        <v>10808</v>
      </c>
      <c r="D54" s="54">
        <v>2500000</v>
      </c>
      <c r="E54" s="54"/>
      <c r="F54" s="54"/>
      <c r="G54" s="54"/>
      <c r="H54" s="54"/>
      <c r="I54" s="54">
        <f t="shared" si="5"/>
        <v>2500000</v>
      </c>
      <c r="J54" s="54">
        <v>825000</v>
      </c>
      <c r="K54" s="54">
        <v>32846.94</v>
      </c>
      <c r="L54" s="54">
        <v>28647</v>
      </c>
      <c r="M54" s="55">
        <f t="shared" si="8"/>
        <v>5113506.06</v>
      </c>
      <c r="N54" s="56">
        <v>1000000</v>
      </c>
      <c r="O54" s="56">
        <v>63861.04</v>
      </c>
      <c r="P54" s="56">
        <f t="shared" si="6"/>
        <v>1613506.06</v>
      </c>
      <c r="Q54" s="57">
        <f t="shared" si="9"/>
        <v>1.14588</v>
      </c>
      <c r="R54" s="98"/>
    </row>
    <row r="55" spans="1:18" ht="20.25">
      <c r="A55" s="65"/>
      <c r="B55" s="52" t="s">
        <v>62</v>
      </c>
      <c r="C55" s="53">
        <v>10899</v>
      </c>
      <c r="D55" s="54">
        <v>150000</v>
      </c>
      <c r="E55" s="54"/>
      <c r="F55" s="54"/>
      <c r="G55" s="54"/>
      <c r="H55" s="54"/>
      <c r="I55" s="54">
        <f t="shared" si="5"/>
        <v>150000</v>
      </c>
      <c r="J55" s="54">
        <v>0</v>
      </c>
      <c r="K55" s="54">
        <v>0</v>
      </c>
      <c r="L55" s="54">
        <v>0</v>
      </c>
      <c r="M55" s="55">
        <f t="shared" si="8"/>
        <v>2500000</v>
      </c>
      <c r="N55" s="56"/>
      <c r="O55" s="56"/>
      <c r="P55" s="56">
        <f t="shared" si="6"/>
        <v>150000</v>
      </c>
      <c r="Q55" s="57">
        <f t="shared" si="9"/>
        <v>0</v>
      </c>
      <c r="R55" s="98"/>
    </row>
    <row r="56" spans="1:18" ht="20.25">
      <c r="A56" s="65"/>
      <c r="B56" s="52" t="s">
        <v>63</v>
      </c>
      <c r="C56" s="53">
        <v>10999</v>
      </c>
      <c r="D56" s="54">
        <v>600000</v>
      </c>
      <c r="E56" s="54"/>
      <c r="F56" s="54"/>
      <c r="G56" s="54"/>
      <c r="H56" s="54"/>
      <c r="I56" s="54">
        <f t="shared" si="5"/>
        <v>600000</v>
      </c>
      <c r="J56" s="54">
        <v>0</v>
      </c>
      <c r="K56" s="54">
        <v>0</v>
      </c>
      <c r="L56" s="54">
        <v>0</v>
      </c>
      <c r="M56" s="55">
        <f t="shared" si="8"/>
        <v>150000</v>
      </c>
      <c r="N56" s="56">
        <v>0</v>
      </c>
      <c r="O56" s="56">
        <v>0</v>
      </c>
      <c r="P56" s="56">
        <f t="shared" si="6"/>
        <v>600000</v>
      </c>
      <c r="Q56" s="57">
        <f>+L56/I55*100</f>
        <v>0</v>
      </c>
      <c r="R56" s="98"/>
    </row>
    <row r="57" spans="1:18" ht="20.25">
      <c r="A57" s="66"/>
      <c r="B57" s="52" t="s">
        <v>64</v>
      </c>
      <c r="C57" s="53">
        <v>19905</v>
      </c>
      <c r="D57" s="54">
        <v>500000</v>
      </c>
      <c r="E57" s="54"/>
      <c r="F57" s="54"/>
      <c r="G57" s="54"/>
      <c r="H57" s="54"/>
      <c r="I57" s="54">
        <f t="shared" si="5"/>
        <v>500000</v>
      </c>
      <c r="J57" s="54">
        <v>0</v>
      </c>
      <c r="K57" s="54">
        <v>0</v>
      </c>
      <c r="L57" s="54">
        <v>0</v>
      </c>
      <c r="M57" s="55">
        <f t="shared" si="8"/>
        <v>600000</v>
      </c>
      <c r="N57" s="56">
        <v>1000000</v>
      </c>
      <c r="O57" s="56">
        <v>1000000</v>
      </c>
      <c r="P57" s="56">
        <f t="shared" si="6"/>
        <v>500000</v>
      </c>
      <c r="Q57" s="57">
        <f>+L57/I56*100</f>
        <v>0</v>
      </c>
      <c r="R57" s="98"/>
    </row>
    <row r="58" spans="1:18" ht="20.25">
      <c r="A58" s="65"/>
      <c r="B58" s="52" t="s">
        <v>114</v>
      </c>
      <c r="C58" s="53">
        <v>19999</v>
      </c>
      <c r="D58" s="54">
        <v>0</v>
      </c>
      <c r="E58" s="54"/>
      <c r="F58" s="54"/>
      <c r="G58" s="54"/>
      <c r="H58" s="54"/>
      <c r="I58" s="54">
        <f>SUM(D58:H58)</f>
        <v>0</v>
      </c>
      <c r="J58" s="54"/>
      <c r="K58" s="54"/>
      <c r="L58" s="54"/>
      <c r="M58" s="55">
        <v>280000</v>
      </c>
      <c r="N58" s="56"/>
      <c r="O58" s="56"/>
      <c r="P58" s="56">
        <f t="shared" si="6"/>
        <v>0</v>
      </c>
      <c r="Q58" s="57">
        <v>0</v>
      </c>
      <c r="R58" s="98"/>
    </row>
    <row r="59" spans="1:18" ht="17.25" customHeight="1">
      <c r="A59" s="65"/>
      <c r="B59" s="68" t="s">
        <v>65</v>
      </c>
      <c r="C59" s="69"/>
      <c r="D59" s="70">
        <f>SUM(D21:D58)</f>
        <v>553249000</v>
      </c>
      <c r="E59" s="70">
        <f>SUM(E21:E58)</f>
        <v>0</v>
      </c>
      <c r="F59" s="70">
        <f>SUM(F21:F58)</f>
        <v>-5500000</v>
      </c>
      <c r="G59" s="70">
        <f>SUM(G21:G58)</f>
        <v>0</v>
      </c>
      <c r="H59" s="70">
        <f>SUM(H21:H58)</f>
        <v>0</v>
      </c>
      <c r="I59" s="70">
        <f>SUM(I21:I57)</f>
        <v>547749000</v>
      </c>
      <c r="J59" s="70">
        <f aca="true" t="shared" si="10" ref="J59:P59">SUM(J21:J57)</f>
        <v>105415188.37</v>
      </c>
      <c r="K59" s="70">
        <f t="shared" si="10"/>
        <v>114818513.82999998</v>
      </c>
      <c r="L59" s="70">
        <f t="shared" si="10"/>
        <v>73074912.27</v>
      </c>
      <c r="M59" s="70">
        <f t="shared" si="10"/>
        <v>253800385.53</v>
      </c>
      <c r="N59" s="70">
        <f t="shared" si="10"/>
        <v>248394600</v>
      </c>
      <c r="O59" s="70">
        <f t="shared" si="10"/>
        <v>76644241.24000001</v>
      </c>
      <c r="P59" s="70">
        <f t="shared" si="10"/>
        <v>254440385.53</v>
      </c>
      <c r="Q59" s="63">
        <f>+L59/I59*100</f>
        <v>13.340948549426834</v>
      </c>
      <c r="R59" s="98"/>
    </row>
    <row r="60" spans="1:18" ht="20.25">
      <c r="A60" s="64" t="s">
        <v>66</v>
      </c>
      <c r="B60" s="52" t="s">
        <v>67</v>
      </c>
      <c r="C60" s="53">
        <v>20101</v>
      </c>
      <c r="D60" s="56">
        <v>12000000</v>
      </c>
      <c r="E60" s="56"/>
      <c r="F60" s="56"/>
      <c r="G60" s="56"/>
      <c r="H60" s="56"/>
      <c r="I60" s="56">
        <f>SUM(D60:H60)</f>
        <v>12000000</v>
      </c>
      <c r="J60" s="56">
        <v>4000000</v>
      </c>
      <c r="K60" s="56">
        <v>0</v>
      </c>
      <c r="L60" s="56">
        <v>0</v>
      </c>
      <c r="M60" s="97">
        <f aca="true" t="shared" si="11" ref="M60:M82">+I60-J60-K60-L60</f>
        <v>8000000</v>
      </c>
      <c r="N60" s="56">
        <v>4723590</v>
      </c>
      <c r="O60" s="56">
        <v>4574869.91</v>
      </c>
      <c r="P60" s="56">
        <f>+I60-J60-K60-L60</f>
        <v>8000000</v>
      </c>
      <c r="Q60" s="57">
        <f>+L60/I60*100</f>
        <v>0</v>
      </c>
      <c r="R60" s="98"/>
    </row>
    <row r="61" spans="1:18" ht="20.25">
      <c r="A61" s="65"/>
      <c r="B61" s="52" t="s">
        <v>68</v>
      </c>
      <c r="C61" s="53">
        <v>20102</v>
      </c>
      <c r="D61" s="56">
        <v>1500000</v>
      </c>
      <c r="E61" s="56"/>
      <c r="F61" s="56">
        <v>500000</v>
      </c>
      <c r="G61" s="56"/>
      <c r="H61" s="56"/>
      <c r="I61" s="56">
        <f aca="true" t="shared" si="12" ref="I61:I81">SUM(D61:H61)</f>
        <v>2000000</v>
      </c>
      <c r="J61" s="56">
        <v>800000</v>
      </c>
      <c r="K61" s="56">
        <v>0</v>
      </c>
      <c r="L61" s="56">
        <v>0</v>
      </c>
      <c r="M61" s="97">
        <f t="shared" si="11"/>
        <v>1200000</v>
      </c>
      <c r="N61" s="56">
        <v>1850000</v>
      </c>
      <c r="O61" s="56">
        <v>1800000</v>
      </c>
      <c r="P61" s="56">
        <f aca="true" t="shared" si="13" ref="P61:P82">+I61-J61-K61-L61</f>
        <v>1200000</v>
      </c>
      <c r="Q61" s="57">
        <f aca="true" t="shared" si="14" ref="Q61:Q82">+L61/I61*100</f>
        <v>0</v>
      </c>
      <c r="R61" s="98"/>
    </row>
    <row r="62" spans="1:18" ht="20.25">
      <c r="A62" s="65"/>
      <c r="B62" s="52" t="s">
        <v>69</v>
      </c>
      <c r="C62" s="53">
        <v>20104</v>
      </c>
      <c r="D62" s="56">
        <v>10000000</v>
      </c>
      <c r="E62" s="56"/>
      <c r="F62" s="56"/>
      <c r="G62" s="56"/>
      <c r="H62" s="56"/>
      <c r="I62" s="56">
        <f t="shared" si="12"/>
        <v>10000000</v>
      </c>
      <c r="J62" s="56">
        <v>0</v>
      </c>
      <c r="K62" s="56">
        <v>25799.99</v>
      </c>
      <c r="L62" s="56">
        <v>0</v>
      </c>
      <c r="M62" s="97">
        <f t="shared" si="11"/>
        <v>9974200.01</v>
      </c>
      <c r="N62" s="56">
        <v>5500000</v>
      </c>
      <c r="O62" s="56">
        <v>58920.85</v>
      </c>
      <c r="P62" s="56">
        <f t="shared" si="13"/>
        <v>9974200.01</v>
      </c>
      <c r="Q62" s="57">
        <f t="shared" si="14"/>
        <v>0</v>
      </c>
      <c r="R62" s="100"/>
    </row>
    <row r="63" spans="1:18" ht="20.25">
      <c r="A63" s="65"/>
      <c r="B63" s="52" t="s">
        <v>70</v>
      </c>
      <c r="C63" s="53">
        <v>20199</v>
      </c>
      <c r="D63" s="56">
        <v>200000</v>
      </c>
      <c r="E63" s="56"/>
      <c r="F63" s="56"/>
      <c r="G63" s="56"/>
      <c r="H63" s="56"/>
      <c r="I63" s="56">
        <f t="shared" si="12"/>
        <v>200000</v>
      </c>
      <c r="J63" s="56">
        <v>0</v>
      </c>
      <c r="K63" s="56">
        <v>3980.02</v>
      </c>
      <c r="L63" s="56">
        <v>46019.98</v>
      </c>
      <c r="M63" s="97">
        <f t="shared" si="11"/>
        <v>150000</v>
      </c>
      <c r="N63" s="56">
        <v>0</v>
      </c>
      <c r="O63" s="56">
        <v>-1863.45</v>
      </c>
      <c r="P63" s="56">
        <f t="shared" si="13"/>
        <v>150000</v>
      </c>
      <c r="Q63" s="57">
        <f t="shared" si="14"/>
        <v>23.009990000000002</v>
      </c>
      <c r="R63" s="100"/>
    </row>
    <row r="64" spans="1:18" ht="20.25">
      <c r="A64" s="65"/>
      <c r="B64" s="52" t="s">
        <v>71</v>
      </c>
      <c r="C64" s="53">
        <v>20202</v>
      </c>
      <c r="D64" s="56">
        <v>0</v>
      </c>
      <c r="E64" s="56"/>
      <c r="F64" s="56"/>
      <c r="G64" s="56"/>
      <c r="H64" s="56"/>
      <c r="I64" s="56">
        <f t="shared" si="12"/>
        <v>0</v>
      </c>
      <c r="J64" s="56"/>
      <c r="K64" s="56"/>
      <c r="L64" s="56"/>
      <c r="M64" s="97">
        <f t="shared" si="11"/>
        <v>0</v>
      </c>
      <c r="N64" s="56">
        <v>100000</v>
      </c>
      <c r="O64" s="56">
        <v>100000</v>
      </c>
      <c r="P64" s="56">
        <f t="shared" si="13"/>
        <v>0</v>
      </c>
      <c r="Q64" s="57">
        <v>0</v>
      </c>
      <c r="R64" s="100"/>
    </row>
    <row r="65" spans="1:18" ht="20.25">
      <c r="A65" s="65"/>
      <c r="B65" s="52" t="s">
        <v>72</v>
      </c>
      <c r="C65" s="53">
        <v>20203</v>
      </c>
      <c r="D65" s="56">
        <v>1700000</v>
      </c>
      <c r="E65" s="56"/>
      <c r="F65" s="56"/>
      <c r="G65" s="56"/>
      <c r="H65" s="56"/>
      <c r="I65" s="56">
        <f t="shared" si="12"/>
        <v>1700000</v>
      </c>
      <c r="J65" s="56">
        <v>0</v>
      </c>
      <c r="K65" s="56">
        <v>41626.2</v>
      </c>
      <c r="L65" s="56">
        <v>19552</v>
      </c>
      <c r="M65" s="97">
        <f t="shared" si="11"/>
        <v>1638821.8</v>
      </c>
      <c r="N65" s="56">
        <v>800000</v>
      </c>
      <c r="O65" s="56">
        <v>0</v>
      </c>
      <c r="P65" s="56">
        <f t="shared" si="13"/>
        <v>1638821.8</v>
      </c>
      <c r="Q65" s="57">
        <f t="shared" si="14"/>
        <v>1.1501176470588235</v>
      </c>
      <c r="R65" s="100"/>
    </row>
    <row r="66" spans="1:18" ht="20.25">
      <c r="A66" s="65"/>
      <c r="B66" s="52" t="s">
        <v>73</v>
      </c>
      <c r="C66" s="53">
        <v>20301</v>
      </c>
      <c r="D66" s="56">
        <v>200000</v>
      </c>
      <c r="E66" s="56"/>
      <c r="F66" s="56"/>
      <c r="G66" s="56"/>
      <c r="H66" s="56"/>
      <c r="I66" s="56">
        <f t="shared" si="12"/>
        <v>200000</v>
      </c>
      <c r="J66" s="56">
        <v>0</v>
      </c>
      <c r="K66" s="56">
        <v>31918.44</v>
      </c>
      <c r="L66" s="56">
        <v>68800</v>
      </c>
      <c r="M66" s="97">
        <f t="shared" si="11"/>
        <v>99281.56</v>
      </c>
      <c r="N66" s="56">
        <v>1350000</v>
      </c>
      <c r="O66" s="56">
        <v>1290821.9</v>
      </c>
      <c r="P66" s="56">
        <f t="shared" si="13"/>
        <v>99281.56</v>
      </c>
      <c r="Q66" s="57">
        <f t="shared" si="14"/>
        <v>34.4</v>
      </c>
      <c r="R66" s="98"/>
    </row>
    <row r="67" spans="1:18" ht="20.25">
      <c r="A67" s="65"/>
      <c r="B67" s="52" t="s">
        <v>74</v>
      </c>
      <c r="C67" s="53">
        <v>20302</v>
      </c>
      <c r="D67" s="56">
        <v>200000</v>
      </c>
      <c r="E67" s="56"/>
      <c r="F67" s="56"/>
      <c r="G67" s="56"/>
      <c r="H67" s="56"/>
      <c r="I67" s="56">
        <f t="shared" si="12"/>
        <v>200000</v>
      </c>
      <c r="J67" s="56">
        <v>0</v>
      </c>
      <c r="K67" s="56">
        <v>0</v>
      </c>
      <c r="L67" s="56">
        <v>0</v>
      </c>
      <c r="M67" s="97">
        <f t="shared" si="11"/>
        <v>200000</v>
      </c>
      <c r="N67" s="56"/>
      <c r="O67" s="56"/>
      <c r="P67" s="56">
        <f t="shared" si="13"/>
        <v>200000</v>
      </c>
      <c r="Q67" s="57">
        <f t="shared" si="14"/>
        <v>0</v>
      </c>
      <c r="R67" s="98"/>
    </row>
    <row r="68" spans="1:18" ht="20.25">
      <c r="A68" s="65"/>
      <c r="B68" s="52" t="s">
        <v>75</v>
      </c>
      <c r="C68" s="53">
        <v>20303</v>
      </c>
      <c r="D68" s="56">
        <v>150000</v>
      </c>
      <c r="E68" s="56"/>
      <c r="F68" s="56"/>
      <c r="G68" s="56"/>
      <c r="H68" s="56"/>
      <c r="I68" s="56">
        <f t="shared" si="12"/>
        <v>150000</v>
      </c>
      <c r="J68" s="56">
        <v>0</v>
      </c>
      <c r="K68" s="56">
        <v>0</v>
      </c>
      <c r="L68" s="56">
        <v>0</v>
      </c>
      <c r="M68" s="97">
        <f t="shared" si="11"/>
        <v>150000</v>
      </c>
      <c r="N68" s="56">
        <v>200000</v>
      </c>
      <c r="O68" s="56">
        <v>200000</v>
      </c>
      <c r="P68" s="56">
        <f t="shared" si="13"/>
        <v>150000</v>
      </c>
      <c r="Q68" s="57">
        <f t="shared" si="14"/>
        <v>0</v>
      </c>
      <c r="R68" s="100"/>
    </row>
    <row r="69" spans="1:18" ht="36">
      <c r="A69" s="65"/>
      <c r="B69" s="52" t="s">
        <v>76</v>
      </c>
      <c r="C69" s="53">
        <v>20304</v>
      </c>
      <c r="D69" s="56">
        <v>4200000</v>
      </c>
      <c r="E69" s="56"/>
      <c r="F69" s="56"/>
      <c r="G69" s="56"/>
      <c r="H69" s="56"/>
      <c r="I69" s="56">
        <f t="shared" si="12"/>
        <v>4200000</v>
      </c>
      <c r="J69" s="56">
        <v>300000</v>
      </c>
      <c r="K69" s="56">
        <v>61047.84</v>
      </c>
      <c r="L69" s="56">
        <v>88952.56</v>
      </c>
      <c r="M69" s="97">
        <f t="shared" si="11"/>
        <v>3749999.6</v>
      </c>
      <c r="N69" s="56">
        <v>2000000</v>
      </c>
      <c r="O69" s="56">
        <v>1851750.21</v>
      </c>
      <c r="P69" s="56">
        <f t="shared" si="13"/>
        <v>3749999.6</v>
      </c>
      <c r="Q69" s="57">
        <f t="shared" si="14"/>
        <v>2.117918095238095</v>
      </c>
      <c r="R69" s="98"/>
    </row>
    <row r="70" spans="1:18" ht="20.25">
      <c r="A70" s="65"/>
      <c r="B70" s="52" t="s">
        <v>77</v>
      </c>
      <c r="C70" s="53">
        <v>20305</v>
      </c>
      <c r="D70" s="56">
        <v>50000</v>
      </c>
      <c r="E70" s="56"/>
      <c r="F70" s="56"/>
      <c r="G70" s="56"/>
      <c r="H70" s="56"/>
      <c r="I70" s="56">
        <f t="shared" si="12"/>
        <v>50000</v>
      </c>
      <c r="J70" s="56">
        <v>0</v>
      </c>
      <c r="K70" s="56">
        <v>0</v>
      </c>
      <c r="L70" s="56">
        <v>0</v>
      </c>
      <c r="M70" s="97">
        <f t="shared" si="11"/>
        <v>50000</v>
      </c>
      <c r="N70" s="56">
        <v>160000</v>
      </c>
      <c r="O70" s="56">
        <v>97404.9</v>
      </c>
      <c r="P70" s="56">
        <f t="shared" si="13"/>
        <v>50000</v>
      </c>
      <c r="Q70" s="57">
        <f t="shared" si="14"/>
        <v>0</v>
      </c>
      <c r="R70" s="98"/>
    </row>
    <row r="71" spans="1:18" ht="20.25">
      <c r="A71" s="65"/>
      <c r="B71" s="52" t="s">
        <v>78</v>
      </c>
      <c r="C71" s="53">
        <v>20306</v>
      </c>
      <c r="D71" s="56">
        <v>700000</v>
      </c>
      <c r="E71" s="56"/>
      <c r="F71" s="56"/>
      <c r="G71" s="56"/>
      <c r="H71" s="56"/>
      <c r="I71" s="56">
        <f t="shared" si="12"/>
        <v>700000</v>
      </c>
      <c r="J71" s="56">
        <v>0</v>
      </c>
      <c r="K71" s="56">
        <v>23875</v>
      </c>
      <c r="L71" s="56">
        <v>0</v>
      </c>
      <c r="M71" s="97">
        <f t="shared" si="11"/>
        <v>676125</v>
      </c>
      <c r="N71" s="56">
        <v>185000</v>
      </c>
      <c r="O71" s="56">
        <v>0</v>
      </c>
      <c r="P71" s="56">
        <f t="shared" si="13"/>
        <v>676125</v>
      </c>
      <c r="Q71" s="57">
        <f t="shared" si="14"/>
        <v>0</v>
      </c>
      <c r="R71" s="98"/>
    </row>
    <row r="72" spans="1:18" ht="36">
      <c r="A72" s="65"/>
      <c r="B72" s="52" t="s">
        <v>79</v>
      </c>
      <c r="C72" s="53">
        <v>20399</v>
      </c>
      <c r="D72" s="56">
        <v>600000</v>
      </c>
      <c r="E72" s="56"/>
      <c r="F72" s="56"/>
      <c r="G72" s="56"/>
      <c r="H72" s="56"/>
      <c r="I72" s="56">
        <f t="shared" si="12"/>
        <v>600000</v>
      </c>
      <c r="J72" s="56">
        <v>0</v>
      </c>
      <c r="K72" s="56">
        <v>40490.52</v>
      </c>
      <c r="L72" s="56">
        <v>9509.48</v>
      </c>
      <c r="M72" s="97">
        <f t="shared" si="11"/>
        <v>550000</v>
      </c>
      <c r="N72" s="56">
        <v>500000</v>
      </c>
      <c r="O72" s="56">
        <v>424002</v>
      </c>
      <c r="P72" s="56">
        <f t="shared" si="13"/>
        <v>550000</v>
      </c>
      <c r="Q72" s="57">
        <f t="shared" si="14"/>
        <v>1.5849133333333332</v>
      </c>
      <c r="R72" s="98"/>
    </row>
    <row r="73" spans="1:18" ht="20.25">
      <c r="A73" s="65"/>
      <c r="B73" s="52" t="s">
        <v>109</v>
      </c>
      <c r="C73" s="53">
        <v>20401</v>
      </c>
      <c r="D73" s="56">
        <v>1500000</v>
      </c>
      <c r="E73" s="56"/>
      <c r="F73" s="56"/>
      <c r="G73" s="56"/>
      <c r="H73" s="56"/>
      <c r="I73" s="56">
        <f t="shared" si="12"/>
        <v>1500000</v>
      </c>
      <c r="J73" s="56">
        <v>0</v>
      </c>
      <c r="K73" s="56">
        <v>46890</v>
      </c>
      <c r="L73" s="56">
        <v>3110</v>
      </c>
      <c r="M73" s="97">
        <f t="shared" si="11"/>
        <v>1450000</v>
      </c>
      <c r="N73" s="56">
        <v>165000</v>
      </c>
      <c r="O73" s="56">
        <v>161219.45</v>
      </c>
      <c r="P73" s="56">
        <f t="shared" si="13"/>
        <v>1450000</v>
      </c>
      <c r="Q73" s="57">
        <f t="shared" si="14"/>
        <v>0.20733333333333331</v>
      </c>
      <c r="R73" s="98"/>
    </row>
    <row r="74" spans="1:18" ht="20.25">
      <c r="A74" s="65"/>
      <c r="B74" s="52" t="s">
        <v>80</v>
      </c>
      <c r="C74" s="53">
        <v>20402</v>
      </c>
      <c r="D74" s="56">
        <v>2000000</v>
      </c>
      <c r="E74" s="56"/>
      <c r="F74" s="56"/>
      <c r="G74" s="56"/>
      <c r="H74" s="56"/>
      <c r="I74" s="56">
        <f t="shared" si="12"/>
        <v>2000000</v>
      </c>
      <c r="J74" s="56">
        <v>0</v>
      </c>
      <c r="K74" s="56">
        <v>24100</v>
      </c>
      <c r="L74" s="56">
        <v>75900</v>
      </c>
      <c r="M74" s="97">
        <f t="shared" si="11"/>
        <v>1900000</v>
      </c>
      <c r="N74" s="56">
        <v>3000000</v>
      </c>
      <c r="O74" s="56">
        <v>752337.44</v>
      </c>
      <c r="P74" s="56">
        <f t="shared" si="13"/>
        <v>1900000</v>
      </c>
      <c r="Q74" s="57">
        <f t="shared" si="14"/>
        <v>3.795</v>
      </c>
      <c r="R74" s="98"/>
    </row>
    <row r="75" spans="1:18" ht="20.25">
      <c r="A75" s="65"/>
      <c r="B75" s="52" t="s">
        <v>81</v>
      </c>
      <c r="C75" s="53">
        <v>29901</v>
      </c>
      <c r="D75" s="56">
        <v>2000000</v>
      </c>
      <c r="E75" s="56"/>
      <c r="F75" s="56"/>
      <c r="G75" s="56"/>
      <c r="H75" s="56"/>
      <c r="I75" s="56">
        <f t="shared" si="12"/>
        <v>2000000</v>
      </c>
      <c r="J75" s="56">
        <v>840000</v>
      </c>
      <c r="K75" s="56">
        <v>43925.44</v>
      </c>
      <c r="L75" s="56">
        <v>13665</v>
      </c>
      <c r="M75" s="97">
        <f t="shared" si="11"/>
        <v>1102409.56</v>
      </c>
      <c r="N75" s="56">
        <v>1450000</v>
      </c>
      <c r="O75" s="56">
        <v>0</v>
      </c>
      <c r="P75" s="56">
        <f t="shared" si="13"/>
        <v>1102409.56</v>
      </c>
      <c r="Q75" s="57">
        <f t="shared" si="14"/>
        <v>0.68325</v>
      </c>
      <c r="R75" s="98"/>
    </row>
    <row r="76" spans="1:18" ht="20.25">
      <c r="A76" s="65"/>
      <c r="B76" s="52" t="s">
        <v>82</v>
      </c>
      <c r="C76" s="53">
        <v>29902</v>
      </c>
      <c r="D76" s="56">
        <v>350000</v>
      </c>
      <c r="E76" s="56"/>
      <c r="F76" s="56"/>
      <c r="G76" s="56"/>
      <c r="H76" s="56"/>
      <c r="I76" s="56">
        <f t="shared" si="12"/>
        <v>350000</v>
      </c>
      <c r="J76" s="56">
        <v>350000</v>
      </c>
      <c r="K76" s="56">
        <v>0</v>
      </c>
      <c r="L76" s="56">
        <v>0</v>
      </c>
      <c r="M76" s="97">
        <f t="shared" si="11"/>
        <v>0</v>
      </c>
      <c r="N76" s="56">
        <v>275000</v>
      </c>
      <c r="O76" s="56">
        <v>275000</v>
      </c>
      <c r="P76" s="56">
        <f t="shared" si="13"/>
        <v>0</v>
      </c>
      <c r="Q76" s="57">
        <f t="shared" si="14"/>
        <v>0</v>
      </c>
      <c r="R76" s="100"/>
    </row>
    <row r="77" spans="1:18" ht="20.25">
      <c r="A77" s="65"/>
      <c r="B77" s="52" t="s">
        <v>83</v>
      </c>
      <c r="C77" s="53">
        <v>29903</v>
      </c>
      <c r="D77" s="56">
        <v>8000000</v>
      </c>
      <c r="E77" s="56"/>
      <c r="F77" s="56"/>
      <c r="G77" s="56"/>
      <c r="H77" s="56"/>
      <c r="I77" s="56">
        <f t="shared" si="12"/>
        <v>8000000</v>
      </c>
      <c r="J77" s="56">
        <v>0</v>
      </c>
      <c r="K77" s="56">
        <v>5731.98</v>
      </c>
      <c r="L77" s="56">
        <v>1562268.02</v>
      </c>
      <c r="M77" s="97">
        <f t="shared" si="11"/>
        <v>6432000</v>
      </c>
      <c r="N77" s="56">
        <v>9690000</v>
      </c>
      <c r="O77" s="56">
        <v>5905506.12</v>
      </c>
      <c r="P77" s="56">
        <f t="shared" si="13"/>
        <v>6432000</v>
      </c>
      <c r="Q77" s="57">
        <f t="shared" si="14"/>
        <v>19.528350250000003</v>
      </c>
      <c r="R77" s="98"/>
    </row>
    <row r="78" spans="1:18" ht="20.25">
      <c r="A78" s="65"/>
      <c r="B78" s="52" t="s">
        <v>84</v>
      </c>
      <c r="C78" s="53">
        <v>29904</v>
      </c>
      <c r="D78" s="56">
        <v>1500000</v>
      </c>
      <c r="E78" s="56"/>
      <c r="F78" s="56"/>
      <c r="G78" s="56"/>
      <c r="H78" s="56"/>
      <c r="I78" s="56">
        <f t="shared" si="12"/>
        <v>1500000</v>
      </c>
      <c r="J78" s="56">
        <v>1000000</v>
      </c>
      <c r="K78" s="56">
        <v>32105</v>
      </c>
      <c r="L78" s="56">
        <v>17895</v>
      </c>
      <c r="M78" s="97">
        <f t="shared" si="11"/>
        <v>450000</v>
      </c>
      <c r="N78" s="56">
        <v>500000</v>
      </c>
      <c r="O78" s="56">
        <v>430602.7</v>
      </c>
      <c r="P78" s="56">
        <f t="shared" si="13"/>
        <v>450000</v>
      </c>
      <c r="Q78" s="57">
        <f t="shared" si="14"/>
        <v>1.193</v>
      </c>
      <c r="R78" s="98"/>
    </row>
    <row r="79" spans="1:18" ht="20.25">
      <c r="A79" s="65"/>
      <c r="B79" s="52" t="s">
        <v>85</v>
      </c>
      <c r="C79" s="53">
        <v>29905</v>
      </c>
      <c r="D79" s="56">
        <v>1000000</v>
      </c>
      <c r="E79" s="56"/>
      <c r="F79" s="56"/>
      <c r="G79" s="56"/>
      <c r="H79" s="56"/>
      <c r="I79" s="56">
        <f t="shared" si="12"/>
        <v>1000000</v>
      </c>
      <c r="J79" s="56">
        <v>900000</v>
      </c>
      <c r="K79" s="56">
        <v>29900</v>
      </c>
      <c r="L79" s="56">
        <v>20100</v>
      </c>
      <c r="M79" s="97">
        <f t="shared" si="11"/>
        <v>50000</v>
      </c>
      <c r="N79" s="56">
        <v>1746000</v>
      </c>
      <c r="O79" s="56">
        <v>1595468.6</v>
      </c>
      <c r="P79" s="56">
        <f t="shared" si="13"/>
        <v>50000</v>
      </c>
      <c r="Q79" s="57">
        <f t="shared" si="14"/>
        <v>2.01</v>
      </c>
      <c r="R79" s="100"/>
    </row>
    <row r="80" spans="1:18" ht="20.25">
      <c r="A80" s="65"/>
      <c r="B80" s="52" t="s">
        <v>112</v>
      </c>
      <c r="C80" s="53">
        <v>29906</v>
      </c>
      <c r="D80" s="56">
        <v>200000</v>
      </c>
      <c r="E80" s="56"/>
      <c r="F80" s="56"/>
      <c r="G80" s="56"/>
      <c r="H80" s="56"/>
      <c r="I80" s="56">
        <f t="shared" si="12"/>
        <v>200000</v>
      </c>
      <c r="J80" s="56">
        <v>0</v>
      </c>
      <c r="K80" s="56">
        <v>0</v>
      </c>
      <c r="L80" s="56">
        <v>0</v>
      </c>
      <c r="M80" s="97">
        <f t="shared" si="11"/>
        <v>200000</v>
      </c>
      <c r="N80" s="56"/>
      <c r="O80" s="56"/>
      <c r="P80" s="56">
        <f t="shared" si="13"/>
        <v>200000</v>
      </c>
      <c r="Q80" s="57">
        <f t="shared" si="14"/>
        <v>0</v>
      </c>
      <c r="R80" s="98"/>
    </row>
    <row r="81" spans="1:18" ht="20.25">
      <c r="A81" s="65"/>
      <c r="B81" s="52" t="s">
        <v>86</v>
      </c>
      <c r="C81" s="53">
        <v>29907</v>
      </c>
      <c r="D81" s="56">
        <v>300000</v>
      </c>
      <c r="E81" s="56"/>
      <c r="F81" s="56"/>
      <c r="G81" s="56"/>
      <c r="H81" s="56"/>
      <c r="I81" s="56">
        <f t="shared" si="12"/>
        <v>300000</v>
      </c>
      <c r="J81" s="56">
        <v>0</v>
      </c>
      <c r="K81" s="56">
        <v>0</v>
      </c>
      <c r="L81" s="56">
        <v>0</v>
      </c>
      <c r="M81" s="97">
        <f t="shared" si="11"/>
        <v>300000</v>
      </c>
      <c r="N81" s="56">
        <v>100000</v>
      </c>
      <c r="O81" s="56">
        <v>95000</v>
      </c>
      <c r="P81" s="56">
        <f t="shared" si="13"/>
        <v>300000</v>
      </c>
      <c r="Q81" s="57">
        <f t="shared" si="14"/>
        <v>0</v>
      </c>
      <c r="R81" s="98"/>
    </row>
    <row r="82" spans="1:18" ht="20.25">
      <c r="A82" s="66"/>
      <c r="B82" s="52" t="s">
        <v>87</v>
      </c>
      <c r="C82" s="53">
        <v>29999</v>
      </c>
      <c r="D82" s="56">
        <v>200000</v>
      </c>
      <c r="E82" s="56"/>
      <c r="F82" s="56"/>
      <c r="G82" s="56"/>
      <c r="H82" s="56"/>
      <c r="I82" s="56">
        <f>SUM(D82:H82)</f>
        <v>200000</v>
      </c>
      <c r="J82" s="56">
        <v>141174</v>
      </c>
      <c r="K82" s="56">
        <v>38258</v>
      </c>
      <c r="L82" s="56">
        <v>20568</v>
      </c>
      <c r="M82" s="97">
        <f t="shared" si="11"/>
        <v>0</v>
      </c>
      <c r="N82" s="56">
        <v>165000</v>
      </c>
      <c r="O82" s="56">
        <v>165000</v>
      </c>
      <c r="P82" s="56">
        <f t="shared" si="13"/>
        <v>0</v>
      </c>
      <c r="Q82" s="57">
        <f t="shared" si="14"/>
        <v>10.284</v>
      </c>
      <c r="R82" s="98"/>
    </row>
    <row r="83" spans="1:18" ht="20.25">
      <c r="A83" s="65"/>
      <c r="B83" s="71" t="s">
        <v>88</v>
      </c>
      <c r="C83" s="72"/>
      <c r="D83" s="73">
        <f>SUM(D60:D82)</f>
        <v>48550000</v>
      </c>
      <c r="E83" s="73">
        <f>SUM(E60:E82)</f>
        <v>0</v>
      </c>
      <c r="F83" s="73">
        <f>SUM(F60:F82)</f>
        <v>500000</v>
      </c>
      <c r="G83" s="73">
        <f>SUM(G60:G82)</f>
        <v>0</v>
      </c>
      <c r="H83" s="73">
        <f>SUM(H60:H82)</f>
        <v>0</v>
      </c>
      <c r="I83" s="73">
        <f aca="true" t="shared" si="15" ref="I83:P83">SUM(I60:I82)</f>
        <v>49050000</v>
      </c>
      <c r="J83" s="73">
        <f t="shared" si="15"/>
        <v>8331174</v>
      </c>
      <c r="K83" s="73">
        <f t="shared" si="15"/>
        <v>449648.43</v>
      </c>
      <c r="L83" s="73">
        <f t="shared" si="15"/>
        <v>1946340.04</v>
      </c>
      <c r="M83" s="73">
        <f t="shared" si="15"/>
        <v>38322837.53</v>
      </c>
      <c r="N83" s="73">
        <f t="shared" si="15"/>
        <v>34459590</v>
      </c>
      <c r="O83" s="73">
        <f t="shared" si="15"/>
        <v>19776040.63</v>
      </c>
      <c r="P83" s="73">
        <f t="shared" si="15"/>
        <v>38322837.53</v>
      </c>
      <c r="Q83" s="63">
        <f>+L83/I83*100</f>
        <v>3.9680734760448524</v>
      </c>
      <c r="R83" s="98"/>
    </row>
    <row r="84" spans="1:18" ht="20.25">
      <c r="A84" s="65"/>
      <c r="B84" s="74" t="s">
        <v>89</v>
      </c>
      <c r="C84" s="53">
        <v>50102</v>
      </c>
      <c r="D84" s="56">
        <v>60000000</v>
      </c>
      <c r="E84" s="56"/>
      <c r="F84" s="56"/>
      <c r="G84" s="56"/>
      <c r="H84" s="56"/>
      <c r="I84" s="56">
        <f>SUM(D84:H84)</f>
        <v>60000000</v>
      </c>
      <c r="J84" s="56">
        <v>60000000</v>
      </c>
      <c r="K84" s="56">
        <v>0</v>
      </c>
      <c r="L84" s="56">
        <v>0</v>
      </c>
      <c r="M84" s="56"/>
      <c r="N84" s="56"/>
      <c r="O84" s="56"/>
      <c r="P84" s="56">
        <f>+I84-J84-K84-L84</f>
        <v>0</v>
      </c>
      <c r="Q84" s="57" t="s">
        <v>16</v>
      </c>
      <c r="R84" s="98"/>
    </row>
    <row r="85" spans="1:18" ht="20.25">
      <c r="A85" s="65"/>
      <c r="B85" s="74" t="s">
        <v>90</v>
      </c>
      <c r="C85" s="53">
        <v>50103</v>
      </c>
      <c r="D85" s="56">
        <v>10000000</v>
      </c>
      <c r="E85" s="56"/>
      <c r="F85" s="56"/>
      <c r="G85" s="56"/>
      <c r="H85" s="56"/>
      <c r="I85" s="56">
        <f aca="true" t="shared" si="16" ref="I85:I92">SUM(D85:H85)</f>
        <v>10000000</v>
      </c>
      <c r="J85" s="56">
        <v>0</v>
      </c>
      <c r="K85" s="56">
        <v>0</v>
      </c>
      <c r="L85" s="56">
        <v>0</v>
      </c>
      <c r="M85" s="56">
        <v>301341.48</v>
      </c>
      <c r="N85" s="56"/>
      <c r="O85" s="56"/>
      <c r="P85" s="56">
        <f aca="true" t="shared" si="17" ref="P85:P92">+I85-J85-K85-L85</f>
        <v>10000000</v>
      </c>
      <c r="Q85" s="57">
        <f>+L85/I85*100</f>
        <v>0</v>
      </c>
      <c r="R85" s="98"/>
    </row>
    <row r="86" spans="1:18" ht="16.5" customHeight="1">
      <c r="A86" s="65"/>
      <c r="B86" s="74" t="s">
        <v>92</v>
      </c>
      <c r="C86" s="53">
        <v>50104</v>
      </c>
      <c r="D86" s="56">
        <v>20000000</v>
      </c>
      <c r="E86" s="56"/>
      <c r="F86" s="56">
        <v>2500000</v>
      </c>
      <c r="G86" s="56"/>
      <c r="H86" s="56"/>
      <c r="I86" s="56">
        <f t="shared" si="16"/>
        <v>22500000</v>
      </c>
      <c r="J86" s="56">
        <v>20000000</v>
      </c>
      <c r="K86" s="56">
        <v>0</v>
      </c>
      <c r="L86" s="56">
        <v>0</v>
      </c>
      <c r="M86" s="56">
        <v>88239.65</v>
      </c>
      <c r="N86" s="56"/>
      <c r="O86" s="56"/>
      <c r="P86" s="56">
        <f t="shared" si="17"/>
        <v>2500000</v>
      </c>
      <c r="Q86" s="57">
        <f aca="true" t="shared" si="18" ref="Q86:Q92">+L86/I86*100</f>
        <v>0</v>
      </c>
      <c r="R86" s="98"/>
    </row>
    <row r="87" spans="1:18" ht="37.5">
      <c r="A87" s="75" t="s">
        <v>91</v>
      </c>
      <c r="B87" s="74" t="s">
        <v>93</v>
      </c>
      <c r="C87" s="53">
        <v>50105</v>
      </c>
      <c r="D87" s="56">
        <v>50000000</v>
      </c>
      <c r="E87" s="56">
        <v>-34844.22</v>
      </c>
      <c r="F87" s="56"/>
      <c r="G87" s="56"/>
      <c r="H87" s="56"/>
      <c r="I87" s="56">
        <f t="shared" si="16"/>
        <v>49965155.78</v>
      </c>
      <c r="J87" s="56">
        <v>49965155.78</v>
      </c>
      <c r="K87" s="56">
        <v>0</v>
      </c>
      <c r="L87" s="56">
        <v>0</v>
      </c>
      <c r="M87" s="56">
        <v>519994.06</v>
      </c>
      <c r="N87" s="56">
        <v>15000000</v>
      </c>
      <c r="O87" s="56">
        <v>14900000</v>
      </c>
      <c r="P87" s="56">
        <f t="shared" si="17"/>
        <v>0</v>
      </c>
      <c r="Q87" s="57">
        <f t="shared" si="18"/>
        <v>0</v>
      </c>
      <c r="R87" s="98"/>
    </row>
    <row r="88" spans="1:18" ht="28.5" customHeight="1">
      <c r="A88" s="76"/>
      <c r="B88" s="74" t="s">
        <v>94</v>
      </c>
      <c r="C88" s="53">
        <v>50106</v>
      </c>
      <c r="D88" s="56">
        <v>0</v>
      </c>
      <c r="E88" s="56">
        <v>34844.22</v>
      </c>
      <c r="F88" s="56"/>
      <c r="G88" s="56"/>
      <c r="H88" s="56"/>
      <c r="I88" s="56">
        <f t="shared" si="16"/>
        <v>34844.22</v>
      </c>
      <c r="J88" s="56">
        <v>0</v>
      </c>
      <c r="K88" s="56">
        <v>0</v>
      </c>
      <c r="L88" s="56">
        <v>0</v>
      </c>
      <c r="M88" s="56">
        <v>340990.7</v>
      </c>
      <c r="N88" s="56">
        <v>12000000</v>
      </c>
      <c r="O88" s="56">
        <v>11650000</v>
      </c>
      <c r="P88" s="56">
        <f t="shared" si="17"/>
        <v>34844.22</v>
      </c>
      <c r="Q88" s="57" t="s">
        <v>16</v>
      </c>
      <c r="R88" s="100"/>
    </row>
    <row r="89" spans="1:18" ht="25.5" customHeight="1">
      <c r="A89" s="76"/>
      <c r="B89" s="74" t="s">
        <v>110</v>
      </c>
      <c r="C89" s="53">
        <v>50199</v>
      </c>
      <c r="D89" s="56">
        <v>0</v>
      </c>
      <c r="E89" s="56"/>
      <c r="F89" s="56">
        <v>2500000</v>
      </c>
      <c r="G89" s="56"/>
      <c r="H89" s="56"/>
      <c r="I89" s="56">
        <f t="shared" si="16"/>
        <v>2500000</v>
      </c>
      <c r="J89" s="56">
        <v>0</v>
      </c>
      <c r="K89" s="56">
        <v>0</v>
      </c>
      <c r="L89" s="56">
        <v>0</v>
      </c>
      <c r="M89" s="56">
        <v>432044.64</v>
      </c>
      <c r="N89" s="56"/>
      <c r="O89" s="56"/>
      <c r="P89" s="56">
        <f t="shared" si="17"/>
        <v>2500000</v>
      </c>
      <c r="Q89" s="57" t="s">
        <v>16</v>
      </c>
      <c r="R89" s="100"/>
    </row>
    <row r="90" spans="1:18" ht="25.5" customHeight="1">
      <c r="A90" s="76"/>
      <c r="B90" s="74" t="s">
        <v>118</v>
      </c>
      <c r="C90" s="53">
        <v>50201</v>
      </c>
      <c r="D90" s="56">
        <v>0</v>
      </c>
      <c r="E90" s="56"/>
      <c r="F90" s="56"/>
      <c r="G90" s="56"/>
      <c r="H90" s="56"/>
      <c r="I90" s="56">
        <f t="shared" si="16"/>
        <v>0</v>
      </c>
      <c r="J90" s="56">
        <v>0</v>
      </c>
      <c r="K90" s="56"/>
      <c r="L90" s="56">
        <v>0</v>
      </c>
      <c r="M90" s="56"/>
      <c r="N90" s="56"/>
      <c r="O90" s="56"/>
      <c r="P90" s="56">
        <f t="shared" si="17"/>
        <v>0</v>
      </c>
      <c r="Q90" s="57" t="s">
        <v>16</v>
      </c>
      <c r="R90" s="100"/>
    </row>
    <row r="91" spans="1:18" ht="25.5" customHeight="1">
      <c r="A91" s="76"/>
      <c r="B91" s="74" t="s">
        <v>282</v>
      </c>
      <c r="C91" s="53">
        <v>50207</v>
      </c>
      <c r="D91" s="56">
        <v>0</v>
      </c>
      <c r="E91" s="56"/>
      <c r="F91" s="56"/>
      <c r="G91" s="56"/>
      <c r="H91" s="56"/>
      <c r="I91" s="56">
        <f t="shared" si="16"/>
        <v>0</v>
      </c>
      <c r="J91" s="56">
        <v>0</v>
      </c>
      <c r="K91" s="56"/>
      <c r="L91" s="56">
        <v>0</v>
      </c>
      <c r="M91" s="56"/>
      <c r="N91" s="56"/>
      <c r="O91" s="56"/>
      <c r="P91" s="56">
        <f t="shared" si="17"/>
        <v>0</v>
      </c>
      <c r="Q91" s="57" t="s">
        <v>16</v>
      </c>
      <c r="R91" s="98"/>
    </row>
    <row r="92" spans="1:18" ht="29.25" customHeight="1">
      <c r="A92" s="77"/>
      <c r="B92" s="74" t="s">
        <v>95</v>
      </c>
      <c r="C92" s="53">
        <v>59903</v>
      </c>
      <c r="D92" s="56">
        <v>14030000</v>
      </c>
      <c r="E92" s="56"/>
      <c r="F92" s="56"/>
      <c r="G92" s="56"/>
      <c r="H92" s="56"/>
      <c r="I92" s="56">
        <f t="shared" si="16"/>
        <v>14030000</v>
      </c>
      <c r="J92" s="56">
        <v>0</v>
      </c>
      <c r="K92" s="56">
        <v>0</v>
      </c>
      <c r="L92" s="56">
        <v>0</v>
      </c>
      <c r="M92" s="56">
        <v>1000</v>
      </c>
      <c r="N92" s="56">
        <v>12000000</v>
      </c>
      <c r="O92" s="56">
        <v>12000000</v>
      </c>
      <c r="P92" s="56">
        <f t="shared" si="17"/>
        <v>14030000</v>
      </c>
      <c r="Q92" s="57">
        <f t="shared" si="18"/>
        <v>0</v>
      </c>
      <c r="R92" s="98"/>
    </row>
    <row r="93" spans="1:18" ht="20.25">
      <c r="A93" s="76"/>
      <c r="B93" s="78" t="s">
        <v>96</v>
      </c>
      <c r="C93" s="79"/>
      <c r="D93" s="80">
        <f>SUM(D84:D92)</f>
        <v>154030000</v>
      </c>
      <c r="E93" s="80">
        <f>SUM(E84:E92)</f>
        <v>0</v>
      </c>
      <c r="F93" s="80">
        <f>SUM(F84:F92)</f>
        <v>5000000</v>
      </c>
      <c r="G93" s="80">
        <f>SUM(G84:G92)</f>
        <v>0</v>
      </c>
      <c r="H93" s="80">
        <f>SUM(H84:H92)</f>
        <v>0</v>
      </c>
      <c r="I93" s="80">
        <f aca="true" t="shared" si="19" ref="I93:P93">SUM(I84:I92)</f>
        <v>159030000</v>
      </c>
      <c r="J93" s="80">
        <f t="shared" si="19"/>
        <v>129965155.78</v>
      </c>
      <c r="K93" s="80">
        <f t="shared" si="19"/>
        <v>0</v>
      </c>
      <c r="L93" s="80">
        <f t="shared" si="19"/>
        <v>0</v>
      </c>
      <c r="M93" s="80">
        <f t="shared" si="19"/>
        <v>1683610.5299999998</v>
      </c>
      <c r="N93" s="80">
        <f t="shared" si="19"/>
        <v>39000000</v>
      </c>
      <c r="O93" s="80">
        <f t="shared" si="19"/>
        <v>38550000</v>
      </c>
      <c r="P93" s="80">
        <f t="shared" si="19"/>
        <v>29064844.22</v>
      </c>
      <c r="Q93" s="63">
        <f>+L93/I93*100</f>
        <v>0</v>
      </c>
      <c r="R93" s="98"/>
    </row>
    <row r="94" spans="1:18" ht="36">
      <c r="A94" s="75" t="s">
        <v>97</v>
      </c>
      <c r="B94" s="52" t="s">
        <v>98</v>
      </c>
      <c r="C94" s="53">
        <v>60103</v>
      </c>
      <c r="D94" s="56">
        <v>24385000</v>
      </c>
      <c r="E94" s="56"/>
      <c r="F94" s="56">
        <v>9500000</v>
      </c>
      <c r="G94" s="56"/>
      <c r="H94" s="56"/>
      <c r="I94" s="56">
        <f>SUM(D94:H94)</f>
        <v>33885000</v>
      </c>
      <c r="J94" s="56">
        <v>0</v>
      </c>
      <c r="K94" s="56">
        <v>17601672.97</v>
      </c>
      <c r="L94" s="56">
        <v>6783327.03</v>
      </c>
      <c r="M94" s="56">
        <v>0</v>
      </c>
      <c r="N94" s="56"/>
      <c r="O94" s="56"/>
      <c r="P94" s="56">
        <f>+I94-J94-K94-L94</f>
        <v>9500000</v>
      </c>
      <c r="Q94" s="57">
        <f>+L94/I94*100</f>
        <v>20.01867206728641</v>
      </c>
      <c r="R94" s="98"/>
    </row>
    <row r="95" spans="1:18" ht="36">
      <c r="A95" s="76"/>
      <c r="B95" s="52" t="s">
        <v>99</v>
      </c>
      <c r="C95" s="53">
        <v>60103</v>
      </c>
      <c r="D95" s="56">
        <v>10511000</v>
      </c>
      <c r="E95" s="56"/>
      <c r="F95" s="56"/>
      <c r="G95" s="56"/>
      <c r="H95" s="56"/>
      <c r="I95" s="56">
        <f aca="true" t="shared" si="20" ref="I95:I102">SUM(D95:H95)</f>
        <v>10511000</v>
      </c>
      <c r="J95" s="56">
        <v>0</v>
      </c>
      <c r="K95" s="56">
        <v>9130991.91</v>
      </c>
      <c r="L95" s="56">
        <v>1380008.09</v>
      </c>
      <c r="M95" s="56">
        <v>0</v>
      </c>
      <c r="N95" s="56"/>
      <c r="O95" s="56"/>
      <c r="P95" s="56">
        <f aca="true" t="shared" si="21" ref="P95:P102">+I95-J95-K95-L95</f>
        <v>0</v>
      </c>
      <c r="Q95" s="57">
        <f aca="true" t="shared" si="22" ref="Q95:Q102">+L95/I95*100</f>
        <v>13.129179811625916</v>
      </c>
      <c r="R95" s="98"/>
    </row>
    <row r="96" spans="1:18" ht="20.25">
      <c r="A96" s="76"/>
      <c r="B96" s="52" t="s">
        <v>100</v>
      </c>
      <c r="C96" s="53">
        <v>60103</v>
      </c>
      <c r="D96" s="56">
        <v>12980000</v>
      </c>
      <c r="E96" s="56"/>
      <c r="F96" s="56"/>
      <c r="G96" s="56"/>
      <c r="H96" s="56"/>
      <c r="I96" s="56">
        <f t="shared" si="20"/>
        <v>12980000</v>
      </c>
      <c r="J96" s="56">
        <v>0</v>
      </c>
      <c r="K96" s="56">
        <v>0</v>
      </c>
      <c r="L96" s="56">
        <v>12979310.33</v>
      </c>
      <c r="M96" s="56">
        <v>0</v>
      </c>
      <c r="N96" s="56"/>
      <c r="O96" s="56"/>
      <c r="P96" s="56">
        <f t="shared" si="21"/>
        <v>689.6699999999255</v>
      </c>
      <c r="Q96" s="57">
        <f t="shared" si="22"/>
        <v>99.99468667180278</v>
      </c>
      <c r="R96" s="98"/>
    </row>
    <row r="97" spans="1:18" ht="20.25">
      <c r="A97" s="76"/>
      <c r="B97" s="52" t="s">
        <v>101</v>
      </c>
      <c r="C97" s="53">
        <v>60103</v>
      </c>
      <c r="D97" s="56">
        <v>5580000</v>
      </c>
      <c r="E97" s="56"/>
      <c r="F97" s="56"/>
      <c r="G97" s="56"/>
      <c r="H97" s="56"/>
      <c r="I97" s="56">
        <f t="shared" si="20"/>
        <v>5580000</v>
      </c>
      <c r="J97" s="56">
        <v>0</v>
      </c>
      <c r="K97" s="56">
        <v>0</v>
      </c>
      <c r="L97" s="56">
        <v>0</v>
      </c>
      <c r="M97" s="56">
        <v>0</v>
      </c>
      <c r="N97" s="56"/>
      <c r="O97" s="56"/>
      <c r="P97" s="56">
        <f t="shared" si="21"/>
        <v>5580000</v>
      </c>
      <c r="Q97" s="57">
        <f t="shared" si="22"/>
        <v>0</v>
      </c>
      <c r="R97" s="98"/>
    </row>
    <row r="98" spans="1:18" ht="20.25">
      <c r="A98" s="76"/>
      <c r="B98" s="52" t="s">
        <v>102</v>
      </c>
      <c r="C98" s="53">
        <v>60202</v>
      </c>
      <c r="D98" s="56">
        <v>750000</v>
      </c>
      <c r="E98" s="56"/>
      <c r="F98" s="56"/>
      <c r="G98" s="56"/>
      <c r="H98" s="56"/>
      <c r="I98" s="56">
        <f t="shared" si="20"/>
        <v>750000</v>
      </c>
      <c r="J98" s="56">
        <v>0</v>
      </c>
      <c r="K98" s="56">
        <v>578830</v>
      </c>
      <c r="L98" s="56">
        <v>171170</v>
      </c>
      <c r="M98" s="56">
        <v>0</v>
      </c>
      <c r="N98" s="56"/>
      <c r="O98" s="56"/>
      <c r="P98" s="56">
        <f t="shared" si="21"/>
        <v>0</v>
      </c>
      <c r="Q98" s="57">
        <f t="shared" si="22"/>
        <v>22.822666666666667</v>
      </c>
      <c r="R98" s="100"/>
    </row>
    <row r="99" spans="1:18" ht="20.25">
      <c r="A99" s="76"/>
      <c r="B99" s="52" t="s">
        <v>103</v>
      </c>
      <c r="C99" s="53">
        <v>60301</v>
      </c>
      <c r="D99" s="56">
        <v>27700000</v>
      </c>
      <c r="E99" s="56"/>
      <c r="F99" s="56">
        <v>20084047.29</v>
      </c>
      <c r="G99" s="56"/>
      <c r="H99" s="56"/>
      <c r="I99" s="56">
        <f t="shared" si="20"/>
        <v>47784047.29</v>
      </c>
      <c r="J99" s="56">
        <v>0</v>
      </c>
      <c r="K99" s="56">
        <v>1057082.7</v>
      </c>
      <c r="L99" s="56">
        <v>6799708.35</v>
      </c>
      <c r="M99" s="56">
        <v>4894116.39</v>
      </c>
      <c r="N99" s="56"/>
      <c r="O99" s="56"/>
      <c r="P99" s="56">
        <f t="shared" si="21"/>
        <v>39927256.239999995</v>
      </c>
      <c r="Q99" s="57">
        <f t="shared" si="22"/>
        <v>14.230080404727474</v>
      </c>
      <c r="R99" s="98"/>
    </row>
    <row r="100" spans="1:18" ht="20.25">
      <c r="A100" s="77"/>
      <c r="B100" s="52" t="s">
        <v>104</v>
      </c>
      <c r="C100" s="53">
        <v>60399</v>
      </c>
      <c r="D100" s="56">
        <v>27000000</v>
      </c>
      <c r="E100" s="56"/>
      <c r="F100" s="56"/>
      <c r="G100" s="56"/>
      <c r="H100" s="56"/>
      <c r="I100" s="56">
        <f t="shared" si="20"/>
        <v>27000000</v>
      </c>
      <c r="J100" s="56">
        <v>0</v>
      </c>
      <c r="K100" s="56">
        <v>22127893.09</v>
      </c>
      <c r="L100" s="56">
        <v>4872106.91</v>
      </c>
      <c r="M100" s="56">
        <v>0</v>
      </c>
      <c r="N100" s="56"/>
      <c r="O100" s="56"/>
      <c r="P100" s="56">
        <f t="shared" si="21"/>
        <v>0</v>
      </c>
      <c r="Q100" s="57">
        <f t="shared" si="22"/>
        <v>18.04484040740741</v>
      </c>
      <c r="R100" s="98"/>
    </row>
    <row r="101" spans="1:18" ht="20.25">
      <c r="A101" s="77"/>
      <c r="B101" s="52" t="s">
        <v>105</v>
      </c>
      <c r="C101" s="53">
        <v>60601</v>
      </c>
      <c r="D101" s="56">
        <v>300000</v>
      </c>
      <c r="E101" s="56"/>
      <c r="F101" s="56"/>
      <c r="G101" s="56"/>
      <c r="H101" s="56"/>
      <c r="I101" s="56">
        <f t="shared" si="20"/>
        <v>300000</v>
      </c>
      <c r="J101" s="56">
        <v>0</v>
      </c>
      <c r="K101" s="56">
        <v>0</v>
      </c>
      <c r="L101" s="56">
        <v>0</v>
      </c>
      <c r="M101" s="56">
        <v>1500000</v>
      </c>
      <c r="N101" s="56"/>
      <c r="O101" s="56"/>
      <c r="P101" s="56">
        <f t="shared" si="21"/>
        <v>300000</v>
      </c>
      <c r="Q101" s="57">
        <f t="shared" si="22"/>
        <v>0</v>
      </c>
      <c r="R101" s="100"/>
    </row>
    <row r="102" spans="1:18" ht="21" thickBot="1">
      <c r="A102" s="77"/>
      <c r="B102" s="52" t="s">
        <v>116</v>
      </c>
      <c r="C102" s="53">
        <v>60701</v>
      </c>
      <c r="D102" s="56">
        <v>3000000</v>
      </c>
      <c r="E102" s="56"/>
      <c r="F102" s="56"/>
      <c r="G102" s="56"/>
      <c r="H102" s="56"/>
      <c r="I102" s="56">
        <f t="shared" si="20"/>
        <v>3000000</v>
      </c>
      <c r="J102" s="56"/>
      <c r="K102" s="56">
        <v>22241.5</v>
      </c>
      <c r="L102" s="56">
        <v>2977758.5</v>
      </c>
      <c r="M102" s="56"/>
      <c r="N102" s="56"/>
      <c r="O102" s="56"/>
      <c r="P102" s="56">
        <f t="shared" si="21"/>
        <v>0</v>
      </c>
      <c r="Q102" s="57">
        <f t="shared" si="22"/>
        <v>99.25861666666667</v>
      </c>
      <c r="R102" s="100"/>
    </row>
    <row r="103" spans="1:18" ht="21" thickBot="1">
      <c r="A103" s="77"/>
      <c r="B103" s="81" t="s">
        <v>106</v>
      </c>
      <c r="C103" s="82"/>
      <c r="D103" s="83">
        <f>SUM(D94:D102)</f>
        <v>112206000</v>
      </c>
      <c r="E103" s="83">
        <f>SUM(E94:E102)</f>
        <v>0</v>
      </c>
      <c r="F103" s="83">
        <f>SUM(F94:F102)</f>
        <v>29584047.29</v>
      </c>
      <c r="G103" s="83">
        <f>SUM(G94:G102)</f>
        <v>0</v>
      </c>
      <c r="H103" s="83">
        <f>SUM(H94:H102)</f>
        <v>0</v>
      </c>
      <c r="I103" s="83">
        <f aca="true" t="shared" si="23" ref="I103:P103">SUM(I94:I102)</f>
        <v>141790047.29</v>
      </c>
      <c r="J103" s="83">
        <f t="shared" si="23"/>
        <v>0</v>
      </c>
      <c r="K103" s="83">
        <f t="shared" si="23"/>
        <v>50518712.17</v>
      </c>
      <c r="L103" s="83">
        <f t="shared" si="23"/>
        <v>35963389.20999999</v>
      </c>
      <c r="M103" s="83">
        <f t="shared" si="23"/>
        <v>6394116.39</v>
      </c>
      <c r="N103" s="83">
        <f t="shared" si="23"/>
        <v>0</v>
      </c>
      <c r="O103" s="83">
        <f t="shared" si="23"/>
        <v>0</v>
      </c>
      <c r="P103" s="83">
        <f t="shared" si="23"/>
        <v>55307945.91</v>
      </c>
      <c r="Q103" s="84">
        <f>+L103/I103*100</f>
        <v>25.363831874916354</v>
      </c>
      <c r="R103" s="100"/>
    </row>
    <row r="104" spans="1:18" ht="20.25">
      <c r="A104" s="77"/>
      <c r="B104" s="81"/>
      <c r="C104" s="82" t="s">
        <v>16</v>
      </c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95"/>
      <c r="R104" s="98"/>
    </row>
    <row r="105" spans="1:18" ht="20.25">
      <c r="A105" s="85"/>
      <c r="B105" s="85"/>
      <c r="C105" s="53"/>
      <c r="D105" s="86">
        <f aca="true" t="shared" si="24" ref="D105:P105">+D103+D93+D83+D59+D20</f>
        <v>6361000000</v>
      </c>
      <c r="E105" s="86">
        <f t="shared" si="24"/>
        <v>0</v>
      </c>
      <c r="F105" s="86">
        <f t="shared" si="24"/>
        <v>0</v>
      </c>
      <c r="G105" s="86">
        <f t="shared" si="24"/>
        <v>0</v>
      </c>
      <c r="H105" s="86">
        <f t="shared" si="24"/>
        <v>0</v>
      </c>
      <c r="I105" s="86">
        <f t="shared" si="24"/>
        <v>6361000000</v>
      </c>
      <c r="J105" s="86">
        <f t="shared" si="24"/>
        <v>243711518.15</v>
      </c>
      <c r="K105" s="86">
        <f t="shared" si="24"/>
        <v>3913160049.78</v>
      </c>
      <c r="L105" s="86">
        <f t="shared" si="24"/>
        <v>1465992418.8799999</v>
      </c>
      <c r="M105" s="86">
        <f t="shared" si="24"/>
        <v>1980967363.98</v>
      </c>
      <c r="N105" s="86">
        <f t="shared" si="24"/>
        <v>2030357470.3799999</v>
      </c>
      <c r="O105" s="86">
        <f t="shared" si="24"/>
        <v>2989452943.49</v>
      </c>
      <c r="P105" s="86">
        <f t="shared" si="24"/>
        <v>738136013.19</v>
      </c>
      <c r="Q105" s="87"/>
      <c r="R105" s="100"/>
    </row>
    <row r="106" spans="1:18" ht="20.25">
      <c r="A106" s="87"/>
      <c r="B106" s="87"/>
      <c r="C106" s="88"/>
      <c r="D106" s="87"/>
      <c r="E106" s="87"/>
      <c r="F106" s="87"/>
      <c r="G106" s="87"/>
      <c r="H106" s="87"/>
      <c r="I106" s="87"/>
      <c r="J106" s="67" t="s">
        <v>16</v>
      </c>
      <c r="K106" s="87"/>
      <c r="L106" s="55" t="s">
        <v>16</v>
      </c>
      <c r="M106" s="87"/>
      <c r="N106" s="87"/>
      <c r="O106" s="87"/>
      <c r="P106" s="87"/>
      <c r="Q106" s="87"/>
      <c r="R106" s="100"/>
    </row>
    <row r="107" spans="1:18" ht="21" thickBot="1">
      <c r="A107" s="87"/>
      <c r="B107" s="87"/>
      <c r="C107" s="88"/>
      <c r="D107" s="87"/>
      <c r="E107" s="87"/>
      <c r="F107" s="87"/>
      <c r="G107" s="87"/>
      <c r="H107" s="87"/>
      <c r="I107" s="57" t="s">
        <v>16</v>
      </c>
      <c r="J107" s="57" t="s">
        <v>16</v>
      </c>
      <c r="K107" s="87"/>
      <c r="L107" s="57" t="s">
        <v>16</v>
      </c>
      <c r="M107" s="87"/>
      <c r="N107" s="87"/>
      <c r="O107" s="87"/>
      <c r="P107" s="87"/>
      <c r="Q107" s="87" t="s">
        <v>16</v>
      </c>
      <c r="R107" s="100"/>
    </row>
    <row r="108" spans="1:18" ht="21" thickBot="1">
      <c r="A108" s="89" t="s">
        <v>293</v>
      </c>
      <c r="B108" s="87"/>
      <c r="C108" s="88"/>
      <c r="D108" s="57" t="s">
        <v>16</v>
      </c>
      <c r="E108" s="57"/>
      <c r="F108" s="57"/>
      <c r="G108" s="57"/>
      <c r="H108" s="57"/>
      <c r="I108" s="57"/>
      <c r="J108" s="87"/>
      <c r="K108" s="90">
        <f>+L105</f>
        <v>1465992418.8799999</v>
      </c>
      <c r="L108" s="57" t="s">
        <v>16</v>
      </c>
      <c r="M108" s="87"/>
      <c r="N108" s="87"/>
      <c r="O108" s="87"/>
      <c r="P108" s="87" t="s">
        <v>107</v>
      </c>
      <c r="Q108" s="91">
        <f>+K108/I105*100</f>
        <v>23.046571590630403</v>
      </c>
      <c r="R108" s="100"/>
    </row>
    <row r="109" spans="1:18" ht="20.25">
      <c r="A109" s="92"/>
      <c r="B109" s="92"/>
      <c r="C109" s="93"/>
      <c r="D109" s="92"/>
      <c r="E109" s="92"/>
      <c r="F109" s="92"/>
      <c r="G109" s="92"/>
      <c r="H109" s="92"/>
      <c r="I109" s="92"/>
      <c r="J109" s="92"/>
      <c r="K109" s="92"/>
      <c r="L109" s="94" t="s">
        <v>16</v>
      </c>
      <c r="M109" s="92"/>
      <c r="N109" s="92"/>
      <c r="O109" s="92"/>
      <c r="P109" s="92" t="s">
        <v>16</v>
      </c>
      <c r="Q109" s="92"/>
      <c r="R109" s="98"/>
    </row>
    <row r="110" spans="1:18" ht="20.25">
      <c r="A110" s="43"/>
      <c r="B110" s="43"/>
      <c r="C110" s="47"/>
      <c r="D110" s="43"/>
      <c r="E110" s="43"/>
      <c r="F110" s="43"/>
      <c r="G110" s="43"/>
      <c r="H110" s="43"/>
      <c r="I110" s="44" t="s">
        <v>16</v>
      </c>
      <c r="J110" s="44" t="s">
        <v>16</v>
      </c>
      <c r="K110" s="43"/>
      <c r="L110" s="45" t="s">
        <v>16</v>
      </c>
      <c r="M110" s="43"/>
      <c r="N110" s="43"/>
      <c r="O110" s="43"/>
      <c r="P110" s="45" t="s">
        <v>16</v>
      </c>
      <c r="Q110" s="45" t="s">
        <v>16</v>
      </c>
      <c r="R110" s="100"/>
    </row>
    <row r="111" spans="1:18" ht="23.25" customHeight="1">
      <c r="A111" s="43"/>
      <c r="B111" s="43"/>
      <c r="C111" s="47"/>
      <c r="D111" s="43"/>
      <c r="E111" s="43"/>
      <c r="F111" s="43"/>
      <c r="G111" s="43"/>
      <c r="H111" s="43"/>
      <c r="I111" s="43"/>
      <c r="J111" s="43" t="s">
        <v>16</v>
      </c>
      <c r="K111" s="44" t="s">
        <v>16</v>
      </c>
      <c r="L111" s="44" t="s">
        <v>16</v>
      </c>
      <c r="M111" s="43"/>
      <c r="N111" s="43"/>
      <c r="O111" s="43"/>
      <c r="P111" s="45" t="s">
        <v>16</v>
      </c>
      <c r="Q111" s="45" t="s">
        <v>16</v>
      </c>
      <c r="R111" s="100"/>
    </row>
    <row r="112" spans="1:18" ht="20.25">
      <c r="A112" s="43"/>
      <c r="B112" s="43"/>
      <c r="C112" s="47"/>
      <c r="D112" s="44" t="s">
        <v>16</v>
      </c>
      <c r="E112" s="44" t="s">
        <v>16</v>
      </c>
      <c r="F112" s="44"/>
      <c r="G112" s="44"/>
      <c r="H112" s="44" t="s">
        <v>16</v>
      </c>
      <c r="I112" s="44" t="s">
        <v>16</v>
      </c>
      <c r="J112" s="44" t="s">
        <v>16</v>
      </c>
      <c r="K112" s="44" t="s">
        <v>16</v>
      </c>
      <c r="L112" s="44" t="s">
        <v>16</v>
      </c>
      <c r="M112" s="44">
        <v>450846273.2600001</v>
      </c>
      <c r="N112" s="43"/>
      <c r="O112" s="43"/>
      <c r="P112" s="45" t="s">
        <v>16</v>
      </c>
      <c r="Q112" s="44" t="s">
        <v>16</v>
      </c>
      <c r="R112" s="98"/>
    </row>
    <row r="113" spans="1:18" ht="20.25">
      <c r="A113" s="43"/>
      <c r="B113" s="43"/>
      <c r="C113" s="47"/>
      <c r="D113" s="43"/>
      <c r="E113" s="43"/>
      <c r="F113" s="43"/>
      <c r="G113" s="43"/>
      <c r="H113" s="43"/>
      <c r="I113" s="43"/>
      <c r="J113" s="43" t="s">
        <v>16</v>
      </c>
      <c r="K113" s="45" t="s">
        <v>16</v>
      </c>
      <c r="L113" s="45" t="s">
        <v>16</v>
      </c>
      <c r="M113" s="43"/>
      <c r="N113" s="43"/>
      <c r="O113" s="43"/>
      <c r="P113" s="45" t="s">
        <v>16</v>
      </c>
      <c r="Q113" s="44" t="s">
        <v>16</v>
      </c>
      <c r="R113" s="100"/>
    </row>
    <row r="114" spans="1:18" ht="20.25">
      <c r="A114" s="43"/>
      <c r="B114" s="43"/>
      <c r="C114" s="47"/>
      <c r="D114" s="43"/>
      <c r="E114" s="43"/>
      <c r="F114" s="43"/>
      <c r="G114" s="43"/>
      <c r="H114" s="43"/>
      <c r="I114" s="43"/>
      <c r="J114" s="43"/>
      <c r="K114" s="45"/>
      <c r="L114" s="45" t="s">
        <v>16</v>
      </c>
      <c r="M114" s="43"/>
      <c r="N114" s="43"/>
      <c r="O114" s="43"/>
      <c r="P114" s="45" t="s">
        <v>108</v>
      </c>
      <c r="Q114" s="44" t="s">
        <v>16</v>
      </c>
      <c r="R114" s="100"/>
    </row>
    <row r="115" spans="1:18" ht="20.25">
      <c r="A115" s="43"/>
      <c r="B115" s="43"/>
      <c r="C115" s="47"/>
      <c r="D115" s="43"/>
      <c r="E115" s="43"/>
      <c r="F115" s="43"/>
      <c r="G115" s="43"/>
      <c r="H115" s="43"/>
      <c r="I115" s="43"/>
      <c r="J115" s="43"/>
      <c r="K115" s="45" t="s">
        <v>16</v>
      </c>
      <c r="L115" s="45" t="s">
        <v>16</v>
      </c>
      <c r="M115" s="43"/>
      <c r="N115" s="43"/>
      <c r="O115" s="43"/>
      <c r="P115" s="45" t="s">
        <v>16</v>
      </c>
      <c r="Q115" s="44" t="s">
        <v>16</v>
      </c>
      <c r="R115" s="98"/>
    </row>
    <row r="116" spans="1:18" ht="20.25">
      <c r="A116" s="43"/>
      <c r="B116" s="43"/>
      <c r="C116" s="47"/>
      <c r="D116" s="43"/>
      <c r="E116" s="43"/>
      <c r="F116" s="43"/>
      <c r="G116" s="43"/>
      <c r="H116" s="43"/>
      <c r="I116" s="43"/>
      <c r="J116" s="43"/>
      <c r="K116" s="45" t="s">
        <v>16</v>
      </c>
      <c r="L116" s="45" t="s">
        <v>108</v>
      </c>
      <c r="M116" s="43"/>
      <c r="N116" s="43"/>
      <c r="O116" s="43"/>
      <c r="P116" s="45" t="s">
        <v>16</v>
      </c>
      <c r="Q116" s="45" t="s">
        <v>16</v>
      </c>
      <c r="R116" s="98"/>
    </row>
    <row r="117" spans="1:18" ht="20.25">
      <c r="A117" s="43"/>
      <c r="B117" s="43"/>
      <c r="C117" s="47"/>
      <c r="D117" s="43"/>
      <c r="E117" s="43"/>
      <c r="F117" s="43"/>
      <c r="G117" s="43"/>
      <c r="H117" s="43"/>
      <c r="I117" s="43"/>
      <c r="J117" s="43"/>
      <c r="K117" s="46" t="s">
        <v>16</v>
      </c>
      <c r="L117" s="45" t="s">
        <v>16</v>
      </c>
      <c r="M117" s="43"/>
      <c r="N117" s="43"/>
      <c r="O117" s="43"/>
      <c r="P117" s="45" t="s">
        <v>16</v>
      </c>
      <c r="Q117" s="43" t="s">
        <v>16</v>
      </c>
      <c r="R117" s="100"/>
    </row>
    <row r="118" spans="1:18" ht="20.25">
      <c r="A118" s="43"/>
      <c r="B118" s="43"/>
      <c r="C118" s="47"/>
      <c r="D118" s="43"/>
      <c r="E118" s="43"/>
      <c r="F118" s="43"/>
      <c r="G118" s="43"/>
      <c r="H118" s="43"/>
      <c r="I118" s="43"/>
      <c r="J118" s="43"/>
      <c r="K118" s="45" t="s">
        <v>16</v>
      </c>
      <c r="L118" s="45" t="s">
        <v>16</v>
      </c>
      <c r="M118" s="43"/>
      <c r="N118" s="43"/>
      <c r="O118" s="43"/>
      <c r="P118" s="45" t="s">
        <v>16</v>
      </c>
      <c r="Q118" s="43"/>
      <c r="R118" s="98"/>
    </row>
    <row r="119" spans="1:18" ht="20.25">
      <c r="A119" s="43"/>
      <c r="B119" s="43"/>
      <c r="C119" s="47"/>
      <c r="D119" s="43"/>
      <c r="E119" s="43"/>
      <c r="F119" s="43"/>
      <c r="G119" s="43"/>
      <c r="H119" s="43"/>
      <c r="I119" s="43"/>
      <c r="J119" s="43"/>
      <c r="K119" s="43"/>
      <c r="L119" s="43" t="s">
        <v>16</v>
      </c>
      <c r="M119" s="43"/>
      <c r="N119" s="43"/>
      <c r="O119" s="43"/>
      <c r="P119" s="45" t="s">
        <v>16</v>
      </c>
      <c r="Q119" s="43"/>
      <c r="R119" s="98"/>
    </row>
    <row r="120" spans="1:18" ht="20.25">
      <c r="A120" s="43"/>
      <c r="B120" s="43"/>
      <c r="C120" s="47"/>
      <c r="D120" s="43"/>
      <c r="E120" s="43"/>
      <c r="F120" s="43"/>
      <c r="G120" s="43"/>
      <c r="H120" s="43"/>
      <c r="I120" s="43"/>
      <c r="J120" s="43"/>
      <c r="K120" s="43"/>
      <c r="L120" s="45" t="s">
        <v>16</v>
      </c>
      <c r="M120" s="43"/>
      <c r="N120" s="43"/>
      <c r="O120" s="43"/>
      <c r="P120" s="45" t="s">
        <v>16</v>
      </c>
      <c r="Q120" s="43"/>
      <c r="R120" s="98"/>
    </row>
    <row r="121" spans="1:18" ht="20.25">
      <c r="A121" s="43"/>
      <c r="B121" s="43"/>
      <c r="C121" s="47"/>
      <c r="D121" s="43"/>
      <c r="E121" s="43"/>
      <c r="F121" s="43"/>
      <c r="G121" s="43"/>
      <c r="H121" s="43"/>
      <c r="I121" s="43"/>
      <c r="J121" s="43"/>
      <c r="K121" s="43"/>
      <c r="L121" s="45" t="s">
        <v>16</v>
      </c>
      <c r="M121" s="43"/>
      <c r="N121" s="43"/>
      <c r="O121" s="43"/>
      <c r="P121" s="45" t="s">
        <v>16</v>
      </c>
      <c r="Q121" s="43"/>
      <c r="R121" s="98"/>
    </row>
    <row r="122" spans="1:18" ht="20.25">
      <c r="A122" s="43"/>
      <c r="B122" s="43"/>
      <c r="C122" s="47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5" t="s">
        <v>16</v>
      </c>
      <c r="Q122" s="43"/>
      <c r="R122" s="98"/>
    </row>
    <row r="123" spans="1:17" ht="15.75">
      <c r="A123" s="43"/>
      <c r="B123" s="43"/>
      <c r="C123" s="47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5" t="s">
        <v>16</v>
      </c>
      <c r="Q123" s="43"/>
    </row>
    <row r="124" spans="1:17" ht="15.75">
      <c r="A124" s="43"/>
      <c r="B124" s="43"/>
      <c r="C124" s="47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5" t="s">
        <v>16</v>
      </c>
      <c r="Q124" s="43"/>
    </row>
    <row r="125" spans="1:17" ht="15.75">
      <c r="A125" s="43"/>
      <c r="B125" s="43"/>
      <c r="C125" s="47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5" t="s">
        <v>16</v>
      </c>
      <c r="Q125" s="43"/>
    </row>
    <row r="126" spans="1:17" ht="15.75">
      <c r="A126" s="43"/>
      <c r="B126" s="43"/>
      <c r="C126" s="47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5" t="s">
        <v>16</v>
      </c>
      <c r="Q126" s="43"/>
    </row>
    <row r="127" spans="1:17" ht="15.75">
      <c r="A127" s="43"/>
      <c r="B127" s="43"/>
      <c r="C127" s="47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5" t="s">
        <v>16</v>
      </c>
      <c r="Q127" s="43"/>
    </row>
    <row r="128" spans="1:17" ht="15.75">
      <c r="A128" s="43"/>
      <c r="B128" s="43"/>
      <c r="C128" s="47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</row>
    <row r="129" spans="1:17" ht="15.75">
      <c r="A129" s="43"/>
      <c r="B129" s="43"/>
      <c r="C129" s="47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</row>
    <row r="130" spans="1:17" ht="15.75">
      <c r="A130" s="43"/>
      <c r="B130" s="43"/>
      <c r="C130" s="47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</row>
    <row r="131" spans="1:17" ht="15.75">
      <c r="A131" s="43"/>
      <c r="B131" s="43"/>
      <c r="C131" s="47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</row>
    <row r="132" spans="1:17" ht="15.75">
      <c r="A132" s="43"/>
      <c r="B132" s="43"/>
      <c r="C132" s="47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</row>
    <row r="133" spans="1:17" ht="15.75">
      <c r="A133" s="43"/>
      <c r="B133" s="43"/>
      <c r="C133" s="47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</row>
    <row r="134" spans="1:17" ht="15.75">
      <c r="A134" s="43"/>
      <c r="B134" s="43"/>
      <c r="C134" s="47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</row>
    <row r="135" spans="1:17" ht="15.75">
      <c r="A135" s="43"/>
      <c r="B135" s="43"/>
      <c r="C135" s="47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</row>
    <row r="136" spans="1:17" ht="15.75">
      <c r="A136" s="43"/>
      <c r="B136" s="43"/>
      <c r="C136" s="47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</row>
    <row r="137" spans="1:17" ht="15.75">
      <c r="A137" s="43"/>
      <c r="B137" s="43"/>
      <c r="C137" s="47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</row>
    <row r="138" spans="1:17" ht="15.75">
      <c r="A138" s="43"/>
      <c r="B138" s="43"/>
      <c r="C138" s="47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</row>
    <row r="139" spans="1:17" ht="15.75">
      <c r="A139" s="43"/>
      <c r="B139" s="43"/>
      <c r="C139" s="47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</row>
    <row r="140" spans="1:17" ht="15.75">
      <c r="A140" s="43"/>
      <c r="B140" s="43"/>
      <c r="C140" s="47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</row>
    <row r="141" spans="1:17" ht="15.75">
      <c r="A141" s="43"/>
      <c r="B141" s="43"/>
      <c r="C141" s="47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</row>
    <row r="142" spans="1:17" ht="15.75">
      <c r="A142" s="43"/>
      <c r="B142" s="43"/>
      <c r="C142" s="47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</row>
    <row r="143" spans="1:17" ht="15.75">
      <c r="A143" s="43"/>
      <c r="B143" s="43"/>
      <c r="C143" s="47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</row>
    <row r="144" spans="1:17" ht="15.75">
      <c r="A144" s="43"/>
      <c r="B144" s="43"/>
      <c r="C144" s="47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</row>
    <row r="145" spans="1:17" ht="15.75">
      <c r="A145" s="43"/>
      <c r="B145" s="43"/>
      <c r="C145" s="47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</row>
    <row r="146" spans="1:17" ht="15.75">
      <c r="A146" s="43"/>
      <c r="B146" s="43"/>
      <c r="C146" s="47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</row>
    <row r="147" spans="1:17" ht="15.75">
      <c r="A147" s="43"/>
      <c r="B147" s="43"/>
      <c r="C147" s="47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</row>
    <row r="148" spans="1:17" ht="15.75">
      <c r="A148" s="43"/>
      <c r="B148" s="43"/>
      <c r="C148" s="47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</row>
    <row r="149" spans="1:17" ht="15.75">
      <c r="A149" s="43"/>
      <c r="B149" s="43"/>
      <c r="C149" s="47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</row>
    <row r="150" spans="1:17" ht="15.75">
      <c r="A150" s="43"/>
      <c r="B150" s="43"/>
      <c r="C150" s="47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</row>
    <row r="151" spans="1:17" ht="15.75">
      <c r="A151" s="43"/>
      <c r="B151" s="43"/>
      <c r="C151" s="47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</row>
    <row r="152" spans="1:17" ht="15.75">
      <c r="A152" s="43"/>
      <c r="B152" s="43"/>
      <c r="C152" s="47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</row>
    <row r="153" spans="1:17" ht="15.75">
      <c r="A153" s="43"/>
      <c r="B153" s="43"/>
      <c r="C153" s="47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</row>
    <row r="154" spans="1:17" ht="15.75">
      <c r="A154" s="43"/>
      <c r="B154" s="43"/>
      <c r="C154" s="47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</row>
    <row r="155" spans="1:17" ht="15.75">
      <c r="A155" s="43"/>
      <c r="B155" s="43"/>
      <c r="C155" s="47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</row>
    <row r="156" spans="1:17" ht="15.75">
      <c r="A156" s="43"/>
      <c r="B156" s="43"/>
      <c r="C156" s="47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</row>
    <row r="157" spans="1:17" ht="15.75">
      <c r="A157" s="43"/>
      <c r="B157" s="43"/>
      <c r="C157" s="47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</row>
    <row r="158" spans="1:17" ht="15.75">
      <c r="A158" s="43"/>
      <c r="B158" s="43"/>
      <c r="C158" s="47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</row>
    <row r="159" spans="1:17" ht="15.75">
      <c r="A159" s="43"/>
      <c r="B159" s="43"/>
      <c r="C159" s="47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</row>
    <row r="160" spans="1:17" ht="15.75">
      <c r="A160" s="43"/>
      <c r="B160" s="43"/>
      <c r="C160" s="47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</row>
    <row r="161" spans="1:17" ht="15.75">
      <c r="A161" s="43"/>
      <c r="B161" s="43"/>
      <c r="C161" s="47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</row>
    <row r="162" spans="1:17" ht="15.75">
      <c r="A162" s="43"/>
      <c r="B162" s="43"/>
      <c r="C162" s="47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</row>
    <row r="163" spans="1:17" ht="15.75">
      <c r="A163" s="43"/>
      <c r="B163" s="43"/>
      <c r="C163" s="47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</row>
    <row r="164" spans="1:17" ht="15.75">
      <c r="A164" s="43"/>
      <c r="B164" s="43"/>
      <c r="C164" s="47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</row>
    <row r="165" spans="1:17" ht="15.75">
      <c r="A165" s="43"/>
      <c r="B165" s="43"/>
      <c r="C165" s="47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</row>
    <row r="166" spans="1:17" ht="15.75">
      <c r="A166" s="43"/>
      <c r="B166" s="43"/>
      <c r="C166" s="47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</row>
    <row r="167" spans="1:17" ht="15.75">
      <c r="A167" s="43"/>
      <c r="B167" s="43"/>
      <c r="C167" s="47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</row>
    <row r="168" spans="1:17" ht="15.75">
      <c r="A168" s="43"/>
      <c r="B168" s="43"/>
      <c r="C168" s="47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</row>
    <row r="169" spans="1:17" ht="15.75">
      <c r="A169" s="43"/>
      <c r="B169" s="43"/>
      <c r="C169" s="47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</row>
    <row r="170" spans="1:17" ht="15.75">
      <c r="A170" s="43"/>
      <c r="B170" s="43"/>
      <c r="C170" s="47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</row>
    <row r="171" spans="1:17" ht="15.75">
      <c r="A171" s="43"/>
      <c r="B171" s="43"/>
      <c r="C171" s="47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</row>
    <row r="172" spans="1:17" ht="15.75">
      <c r="A172" s="43"/>
      <c r="B172" s="43"/>
      <c r="C172" s="47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</row>
    <row r="173" spans="1:17" ht="15.75">
      <c r="A173" s="43"/>
      <c r="B173" s="43"/>
      <c r="C173" s="47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</row>
    <row r="174" spans="1:17" ht="15.75">
      <c r="A174" s="43"/>
      <c r="B174" s="43"/>
      <c r="C174" s="47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</row>
    <row r="175" spans="1:17" ht="15.75">
      <c r="A175" s="43"/>
      <c r="B175" s="43"/>
      <c r="C175" s="47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</row>
    <row r="176" spans="1:17" ht="15.75">
      <c r="A176" s="43"/>
      <c r="B176" s="43"/>
      <c r="C176" s="47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</row>
    <row r="177" spans="1:17" ht="15.75">
      <c r="A177" s="43"/>
      <c r="B177" s="43"/>
      <c r="C177" s="47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</row>
    <row r="178" spans="1:17" ht="15.75">
      <c r="A178" s="43"/>
      <c r="B178" s="43"/>
      <c r="C178" s="47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</row>
    <row r="179" spans="1:17" ht="15.75">
      <c r="A179" s="43"/>
      <c r="B179" s="43"/>
      <c r="C179" s="47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</row>
    <row r="180" spans="1:17" ht="15.75">
      <c r="A180" s="43"/>
      <c r="B180" s="43"/>
      <c r="C180" s="47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</row>
    <row r="181" spans="1:17" ht="15.75">
      <c r="A181" s="43"/>
      <c r="B181" s="43"/>
      <c r="C181" s="47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</row>
    <row r="182" spans="1:17" ht="15.75">
      <c r="A182" s="43"/>
      <c r="B182" s="43"/>
      <c r="C182" s="47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</row>
    <row r="183" spans="1:17" ht="15.75">
      <c r="A183" s="43"/>
      <c r="B183" s="43"/>
      <c r="C183" s="47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</row>
    <row r="184" spans="1:17" ht="15.75">
      <c r="A184" s="43"/>
      <c r="B184" s="43"/>
      <c r="C184" s="47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</row>
    <row r="185" spans="1:17" ht="15.75">
      <c r="A185" s="43"/>
      <c r="B185" s="43"/>
      <c r="C185" s="47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</row>
    <row r="186" spans="1:17" ht="15.75">
      <c r="A186" s="43"/>
      <c r="B186" s="43"/>
      <c r="C186" s="47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</row>
  </sheetData>
  <sheetProtection/>
  <printOptions/>
  <pageMargins left="1.08" right="0.31496062992125984" top="0.35433070866141736" bottom="0.35433070866141736" header="0.31" footer="0.11811023622047245"/>
  <pageSetup horizontalDpi="360" verticalDpi="36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159"/>
  <sheetViews>
    <sheetView zoomScalePageLayoutView="0" workbookViewId="0" topLeftCell="A1">
      <selection activeCell="F8" sqref="F8"/>
    </sheetView>
  </sheetViews>
  <sheetFormatPr defaultColWidth="11.421875" defaultRowHeight="15"/>
  <cols>
    <col min="2" max="2" width="70.7109375" style="0" customWidth="1"/>
    <col min="3" max="3" width="18.140625" style="0" customWidth="1"/>
    <col min="4" max="4" width="13.8515625" style="4" customWidth="1"/>
    <col min="5" max="5" width="15.8515625" style="0" customWidth="1"/>
    <col min="7" max="7" width="13.57421875" style="0" customWidth="1"/>
    <col min="10" max="10" width="11.7109375" style="0" customWidth="1"/>
    <col min="11" max="11" width="13.00390625" style="0" customWidth="1"/>
    <col min="12" max="12" width="12.140625" style="0" customWidth="1"/>
    <col min="13" max="13" width="13.140625" style="0" customWidth="1"/>
    <col min="14" max="14" width="15.00390625" style="0" customWidth="1"/>
    <col min="15" max="15" width="14.140625" style="0" customWidth="1"/>
    <col min="16" max="16" width="15.140625" style="0" customWidth="1"/>
    <col min="17" max="17" width="13.140625" style="0" customWidth="1"/>
  </cols>
  <sheetData>
    <row r="1" spans="1:16" ht="23.25">
      <c r="A1" s="5" t="s">
        <v>285</v>
      </c>
      <c r="C1" s="6"/>
      <c r="D1" s="3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 ht="23.25">
      <c r="B2" s="5"/>
      <c r="C2" s="8"/>
      <c r="D2" s="3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">
      <c r="A3" s="9"/>
      <c r="B3" s="9"/>
      <c r="C3" s="9"/>
      <c r="D3" s="40" t="s">
        <v>119</v>
      </c>
      <c r="E3" s="10" t="s">
        <v>120</v>
      </c>
      <c r="F3" s="11" t="s">
        <v>121</v>
      </c>
      <c r="G3" s="12" t="s">
        <v>122</v>
      </c>
      <c r="H3" s="13" t="s">
        <v>123</v>
      </c>
      <c r="I3" s="14" t="s">
        <v>124</v>
      </c>
      <c r="J3" s="15" t="s">
        <v>125</v>
      </c>
      <c r="K3" s="10" t="s">
        <v>126</v>
      </c>
      <c r="L3" s="12" t="s">
        <v>127</v>
      </c>
      <c r="M3" s="16" t="s">
        <v>128</v>
      </c>
      <c r="N3" s="17" t="s">
        <v>129</v>
      </c>
      <c r="O3" s="18" t="s">
        <v>130</v>
      </c>
      <c r="P3" s="7"/>
    </row>
    <row r="4" spans="1:16" ht="15">
      <c r="A4" s="19" t="s">
        <v>131</v>
      </c>
      <c r="B4" s="20" t="s">
        <v>132</v>
      </c>
      <c r="C4" s="21">
        <f>SUM(C5:C29)</f>
        <v>5492965000</v>
      </c>
      <c r="D4" s="3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">
      <c r="A5" s="22" t="s">
        <v>133</v>
      </c>
      <c r="B5" s="23" t="s">
        <v>134</v>
      </c>
      <c r="C5" s="24" t="s">
        <v>16</v>
      </c>
      <c r="D5" s="4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">
      <c r="A6" s="25">
        <v>101</v>
      </c>
      <c r="B6" s="26" t="s">
        <v>135</v>
      </c>
      <c r="C6" s="24">
        <v>1563459000</v>
      </c>
      <c r="D6" s="7">
        <f>54908892.17+55474773.17</f>
        <v>110383665.34</v>
      </c>
      <c r="E6" s="7">
        <f>54883957.5+54757798.51</f>
        <v>109641756.00999999</v>
      </c>
      <c r="F6" s="7">
        <f>53400926.16+58379506.64</f>
        <v>111780432.8</v>
      </c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5">
      <c r="A7" s="25">
        <v>103</v>
      </c>
      <c r="B7" s="26" t="s">
        <v>136</v>
      </c>
      <c r="C7" s="24"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5">
      <c r="A8" s="25">
        <v>105</v>
      </c>
      <c r="B8" s="26" t="s">
        <v>137</v>
      </c>
      <c r="C8" s="24">
        <v>4000000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5">
      <c r="A9" s="22" t="s">
        <v>138</v>
      </c>
      <c r="B9" s="23" t="s">
        <v>139</v>
      </c>
      <c r="C9" s="2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">
      <c r="A10" s="25">
        <v>201</v>
      </c>
      <c r="B10" s="26" t="s">
        <v>140</v>
      </c>
      <c r="C10" s="24">
        <v>12000000</v>
      </c>
      <c r="D10" s="7">
        <v>33993.99</v>
      </c>
      <c r="E10" s="7">
        <f>1132749.71+90650.64</f>
        <v>1223400.3499999999</v>
      </c>
      <c r="F10" s="7">
        <f>1646728.2+43495</f>
        <v>1690223.2</v>
      </c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5">
      <c r="A11" s="25">
        <v>202</v>
      </c>
      <c r="B11" s="26" t="s">
        <v>141</v>
      </c>
      <c r="C11" s="24">
        <v>1000000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5">
      <c r="A12" s="25">
        <v>203</v>
      </c>
      <c r="B12" s="26" t="s">
        <v>142</v>
      </c>
      <c r="C12" s="24"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5">
      <c r="A13" s="22" t="s">
        <v>143</v>
      </c>
      <c r="B13" s="23" t="s">
        <v>144</v>
      </c>
      <c r="C13" s="2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5">
      <c r="A14" s="25">
        <v>301</v>
      </c>
      <c r="B14" s="26" t="s">
        <v>145</v>
      </c>
      <c r="C14" s="24">
        <v>1047200000</v>
      </c>
      <c r="D14" s="7">
        <f>36428028.17+36426891.5</f>
        <v>72854919.67</v>
      </c>
      <c r="E14" s="7">
        <f>36485673.17+36383301.48</f>
        <v>72868974.65</v>
      </c>
      <c r="F14" s="7">
        <f>35751838.16+39134242.2</f>
        <v>74886080.36</v>
      </c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>
      <c r="A15" s="25">
        <v>302</v>
      </c>
      <c r="B15" s="26" t="s">
        <v>146</v>
      </c>
      <c r="C15" s="24">
        <v>852000000</v>
      </c>
      <c r="D15" s="7">
        <f>29645351+29889355.33</f>
        <v>59534706.33</v>
      </c>
      <c r="E15" s="7">
        <f>29628922.67+29407460.33</f>
        <v>59036383</v>
      </c>
      <c r="F15" s="7">
        <f>28618611.92+31377836.89</f>
        <v>59996448.81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25">
        <v>303</v>
      </c>
      <c r="B16" s="26" t="s">
        <v>147</v>
      </c>
      <c r="C16" s="24">
        <v>346000000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25">
        <v>304</v>
      </c>
      <c r="B17" s="26" t="s">
        <v>148</v>
      </c>
      <c r="C17" s="24">
        <v>280100000</v>
      </c>
      <c r="D17" s="7">
        <v>275515952.71</v>
      </c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">
      <c r="A18" s="25">
        <v>399</v>
      </c>
      <c r="B18" s="26" t="s">
        <v>149</v>
      </c>
      <c r="C18" s="24">
        <v>444520000</v>
      </c>
      <c r="D18" s="7">
        <f>8164373.2+236479.5+6902059.12+8406860.5+236972.5+6928708.52</f>
        <v>30875453.34</v>
      </c>
      <c r="E18" s="7">
        <f>8279033.4+236726+6863466.85+8291916.27+238139.27+6826127.19</f>
        <v>30735408.98</v>
      </c>
      <c r="F18" s="7">
        <f>8028795.35+237091.5+6601023.23+8870470.77+258436.9+7226500.99</f>
        <v>31222318.740000002</v>
      </c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">
      <c r="A19" s="22" t="s">
        <v>150</v>
      </c>
      <c r="B19" s="23" t="s">
        <v>151</v>
      </c>
      <c r="C19" s="2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5">
      <c r="A20" s="25">
        <v>401</v>
      </c>
      <c r="B20" s="26" t="s">
        <v>152</v>
      </c>
      <c r="C20" s="24">
        <v>388896000</v>
      </c>
      <c r="D20" s="7">
        <v>25744646</v>
      </c>
      <c r="E20" s="7">
        <f>25315653+25485225</f>
        <v>50800878</v>
      </c>
      <c r="F20" s="7">
        <v>25299298</v>
      </c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5">
      <c r="A21" s="25">
        <v>402</v>
      </c>
      <c r="B21" s="26" t="s">
        <v>153</v>
      </c>
      <c r="C21" s="24">
        <v>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5">
      <c r="A22" s="25">
        <v>405</v>
      </c>
      <c r="B22" s="26" t="s">
        <v>154</v>
      </c>
      <c r="C22" s="24">
        <v>21021000</v>
      </c>
      <c r="D22" s="7">
        <v>1391602</v>
      </c>
      <c r="E22" s="7">
        <f>1368410+1377582</f>
        <v>2745992</v>
      </c>
      <c r="F22" s="7">
        <v>1367524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5">
      <c r="A23" s="22" t="s">
        <v>155</v>
      </c>
      <c r="B23" s="23" t="s">
        <v>156</v>
      </c>
      <c r="C23" s="2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5">
      <c r="A24" s="25">
        <v>501</v>
      </c>
      <c r="B24" s="26" t="s">
        <v>279</v>
      </c>
      <c r="C24" s="24">
        <v>213577000</v>
      </c>
      <c r="D24" s="7">
        <v>14012679</v>
      </c>
      <c r="E24" s="7">
        <f>13777081+13871896</f>
        <v>27648977</v>
      </c>
      <c r="F24" s="7">
        <v>13768098</v>
      </c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5">
      <c r="A25" s="25">
        <v>502</v>
      </c>
      <c r="B25" s="26" t="s">
        <v>157</v>
      </c>
      <c r="C25" s="24">
        <v>63064000</v>
      </c>
      <c r="D25" s="7">
        <v>4174808</v>
      </c>
      <c r="E25" s="7">
        <f>4105246+4132742</f>
        <v>8237988</v>
      </c>
      <c r="F25" s="7">
        <v>4102589</v>
      </c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5">
      <c r="A26" s="25">
        <v>503</v>
      </c>
      <c r="B26" s="26" t="s">
        <v>158</v>
      </c>
      <c r="C26" s="24">
        <v>126128000</v>
      </c>
      <c r="D26" s="7">
        <v>8349614</v>
      </c>
      <c r="E26" s="7">
        <f>8210483+8265477</f>
        <v>16475960</v>
      </c>
      <c r="F26" s="7">
        <v>8205177</v>
      </c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7" ht="15">
      <c r="A27" s="25">
        <v>505</v>
      </c>
      <c r="B27" s="26" t="s">
        <v>280</v>
      </c>
      <c r="C27" s="24">
        <v>130000000</v>
      </c>
      <c r="D27" s="7">
        <f>2108408.75+5588490.66</f>
        <v>7696899.41</v>
      </c>
      <c r="E27" s="7">
        <f>10861862+10937887.75</f>
        <v>21799749.75</v>
      </c>
      <c r="F27" s="7">
        <v>10905179.92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t="s">
        <v>16</v>
      </c>
    </row>
    <row r="28" spans="1:16" ht="15">
      <c r="A28" s="22" t="s">
        <v>159</v>
      </c>
      <c r="B28" s="23" t="s">
        <v>160</v>
      </c>
      <c r="C28" s="2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5">
      <c r="A29" s="25">
        <v>9901</v>
      </c>
      <c r="B29" s="26" t="s">
        <v>161</v>
      </c>
      <c r="C29" s="2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5">
      <c r="A30" s="25"/>
      <c r="B30" s="26"/>
      <c r="C30" s="2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5">
      <c r="A31" s="19" t="s">
        <v>162</v>
      </c>
      <c r="B31" s="20" t="s">
        <v>163</v>
      </c>
      <c r="C31" s="21">
        <f>+C32+C38+C44+C51++C59+C64+C66+C70+C78+C80</f>
        <v>553249000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">
      <c r="A32" s="28">
        <v>101</v>
      </c>
      <c r="B32" s="23" t="s">
        <v>164</v>
      </c>
      <c r="C32" s="24">
        <f>SUM(C33:C37)</f>
        <v>62950000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5">
      <c r="A33" s="25">
        <v>10101</v>
      </c>
      <c r="B33" s="26" t="s">
        <v>165</v>
      </c>
      <c r="C33" s="24">
        <v>62350000</v>
      </c>
      <c r="D33" s="7">
        <f>6500</f>
        <v>6500</v>
      </c>
      <c r="E33" s="7">
        <f>72010.2+770000+309000+480953+50000+62325</f>
        <v>1744288.2</v>
      </c>
      <c r="F33" s="7">
        <f>809570+72010.2+309000+770000+55000+809570</f>
        <v>2825150.2</v>
      </c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5">
      <c r="A34" s="25">
        <v>10102</v>
      </c>
      <c r="B34" s="26" t="s">
        <v>166</v>
      </c>
      <c r="C34" s="24"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5">
      <c r="A35" s="25">
        <v>10103</v>
      </c>
      <c r="B35" s="26" t="s">
        <v>167</v>
      </c>
      <c r="C35" s="24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5">
      <c r="A36" s="25">
        <v>10104</v>
      </c>
      <c r="B36" s="26" t="s">
        <v>168</v>
      </c>
      <c r="C36" s="24">
        <v>500000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5">
      <c r="A37" s="25">
        <v>10199</v>
      </c>
      <c r="B37" s="26" t="s">
        <v>169</v>
      </c>
      <c r="C37" s="24">
        <v>100000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5">
      <c r="A38" s="28">
        <v>102</v>
      </c>
      <c r="B38" s="23" t="s">
        <v>170</v>
      </c>
      <c r="C38" s="24">
        <f>+C39+C40+C41+C42+C43</f>
        <v>114049000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25">
        <v>10201</v>
      </c>
      <c r="B39" s="26" t="s">
        <v>171</v>
      </c>
      <c r="C39" s="24">
        <v>20500000</v>
      </c>
      <c r="D39" s="7">
        <f>11504+4656+3155767+7352+13580</f>
        <v>3192859</v>
      </c>
      <c r="E39" s="7">
        <f>7075+2730+2882132+9428+4822</f>
        <v>2906187</v>
      </c>
      <c r="F39" s="7">
        <f>9434+4660+2550281+5278+9434</f>
        <v>2579087</v>
      </c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5">
      <c r="A40" s="25">
        <v>10202</v>
      </c>
      <c r="B40" s="26" t="s">
        <v>172</v>
      </c>
      <c r="C40" s="24">
        <v>28049000</v>
      </c>
      <c r="D40" s="7">
        <f>56520+78405+33221.48+1811855+88960+65950+44940+51200</f>
        <v>2231051.48</v>
      </c>
      <c r="E40" s="7">
        <f>71725+1512775+83655+74795+78760+79695+22970.5</f>
        <v>1924375.5</v>
      </c>
      <c r="F40" s="7">
        <f>93115+1517385+45805+118960+80675+49770+32353.64</f>
        <v>1938063.64</v>
      </c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">
      <c r="A41" s="25">
        <v>10203</v>
      </c>
      <c r="B41" s="26" t="s">
        <v>173</v>
      </c>
      <c r="C41" s="24">
        <v>9500000</v>
      </c>
      <c r="D41" s="7">
        <f>8970+4380</f>
        <v>13350</v>
      </c>
      <c r="E41" s="7">
        <f>16000+596330</f>
        <v>612330</v>
      </c>
      <c r="F41" s="7">
        <v>564165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25">
        <v>10204</v>
      </c>
      <c r="B42" s="26" t="s">
        <v>174</v>
      </c>
      <c r="C42" s="24">
        <v>54500000</v>
      </c>
      <c r="D42" s="7">
        <v>4211765.39</v>
      </c>
      <c r="E42" s="7">
        <f>191710.45+500000+213593.05+171726</f>
        <v>1077029.5</v>
      </c>
      <c r="F42" s="7">
        <f>3019001+155578+184579+500000+219250.33+191894.7+172953+3034384+172351+187757</f>
        <v>7837748.03</v>
      </c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5">
      <c r="A43" s="25">
        <v>10299</v>
      </c>
      <c r="B43" s="26" t="s">
        <v>175</v>
      </c>
      <c r="C43" s="24">
        <v>1500000</v>
      </c>
      <c r="D43" s="7">
        <v>15776.1</v>
      </c>
      <c r="E43" s="7">
        <f>26436.1+363397.1</f>
        <v>389833.19999999995</v>
      </c>
      <c r="F43" s="7">
        <v>35497.1</v>
      </c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5">
      <c r="A44" s="28">
        <v>103</v>
      </c>
      <c r="B44" s="23" t="s">
        <v>176</v>
      </c>
      <c r="C44" s="24">
        <f>+C45+C46+C47+C48+C49+C50</f>
        <v>30750000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5">
      <c r="A45" s="25">
        <v>10301</v>
      </c>
      <c r="B45" s="26" t="s">
        <v>177</v>
      </c>
      <c r="C45" s="24">
        <v>6000000</v>
      </c>
      <c r="D45" s="7">
        <v>8600</v>
      </c>
      <c r="E45" s="7">
        <v>8050</v>
      </c>
      <c r="F45" s="7">
        <f>265350+622930+196370</f>
        <v>1084650</v>
      </c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5">
      <c r="A46" s="25">
        <v>10302</v>
      </c>
      <c r="B46" s="26" t="s">
        <v>178</v>
      </c>
      <c r="C46" s="24">
        <v>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">
      <c r="A47" s="25">
        <v>10303</v>
      </c>
      <c r="B47" s="26" t="s">
        <v>179</v>
      </c>
      <c r="C47" s="24">
        <v>4000000</v>
      </c>
      <c r="D47" s="7">
        <v>398526.72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25">
        <v>10304</v>
      </c>
      <c r="B48" s="26" t="s">
        <v>180</v>
      </c>
      <c r="C48" s="24">
        <v>250000</v>
      </c>
      <c r="D48" s="7"/>
      <c r="E48" s="7">
        <v>75000</v>
      </c>
      <c r="F48" s="7">
        <v>3000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5">
      <c r="A49" s="25">
        <v>10306</v>
      </c>
      <c r="B49" s="26" t="s">
        <v>181</v>
      </c>
      <c r="C49" s="24">
        <v>2000000</v>
      </c>
      <c r="D49" s="7">
        <v>507286.4</v>
      </c>
      <c r="E49" s="7">
        <v>57227</v>
      </c>
      <c r="F49" s="7">
        <v>118922.55</v>
      </c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5">
      <c r="A50" s="25">
        <v>10307</v>
      </c>
      <c r="B50" s="26" t="s">
        <v>182</v>
      </c>
      <c r="C50" s="24">
        <v>18500000</v>
      </c>
      <c r="D50" s="7">
        <v>811487.87</v>
      </c>
      <c r="E50" s="7">
        <v>686042.56</v>
      </c>
      <c r="F50" s="7">
        <v>1259886.32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5">
      <c r="A51" s="28">
        <v>104</v>
      </c>
      <c r="B51" s="23" t="s">
        <v>183</v>
      </c>
      <c r="C51" s="24">
        <f>+C52+C53+C54+C55+C56+C57+C58</f>
        <v>208200000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25">
        <v>10401</v>
      </c>
      <c r="B52" s="26" t="s">
        <v>184</v>
      </c>
      <c r="C52" s="24">
        <v>200000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5">
      <c r="A53" s="25">
        <v>10402</v>
      </c>
      <c r="B53" s="26" t="s">
        <v>185</v>
      </c>
      <c r="C53" s="24">
        <v>0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5">
      <c r="A54" s="25">
        <v>10403</v>
      </c>
      <c r="B54" s="26" t="s">
        <v>186</v>
      </c>
      <c r="C54" s="24">
        <v>0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5">
      <c r="A55" s="25">
        <v>10404</v>
      </c>
      <c r="B55" s="26" t="s">
        <v>187</v>
      </c>
      <c r="C55" s="24">
        <v>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5">
      <c r="A56" s="25">
        <v>10405</v>
      </c>
      <c r="B56" s="26" t="s">
        <v>188</v>
      </c>
      <c r="C56" s="24">
        <v>96000000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5">
      <c r="A57" s="25">
        <v>10406</v>
      </c>
      <c r="B57" s="26" t="s">
        <v>189</v>
      </c>
      <c r="C57" s="24">
        <v>106000000</v>
      </c>
      <c r="D57" s="7">
        <v>28221</v>
      </c>
      <c r="E57" s="7">
        <f>20000+403510.55+115010</f>
        <v>538520.55</v>
      </c>
      <c r="F57" s="7">
        <f>4968958.4+20000+404635.2+2916339.6+131627.72+36791.5+131627.72+36791.5</f>
        <v>8646771.640000002</v>
      </c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15">
      <c r="A58" s="25">
        <v>10499</v>
      </c>
      <c r="B58" s="26" t="s">
        <v>190</v>
      </c>
      <c r="C58" s="24">
        <v>6000000</v>
      </c>
      <c r="D58" s="7">
        <v>12160</v>
      </c>
      <c r="E58" s="7" t="s">
        <v>16</v>
      </c>
      <c r="F58" s="7">
        <v>200000</v>
      </c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5">
      <c r="A59" s="28">
        <v>105</v>
      </c>
      <c r="B59" s="23" t="s">
        <v>191</v>
      </c>
      <c r="C59" s="24">
        <f>+C60+C61+C62+C63</f>
        <v>34500000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5">
      <c r="A60" s="25">
        <v>10501</v>
      </c>
      <c r="B60" s="26" t="s">
        <v>192</v>
      </c>
      <c r="C60" s="24">
        <v>2000000</v>
      </c>
      <c r="D60" s="7">
        <v>34320</v>
      </c>
      <c r="E60" s="7">
        <f>4360+87800</f>
        <v>92160</v>
      </c>
      <c r="F60" s="7">
        <f>50000+5230</f>
        <v>55230</v>
      </c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5">
      <c r="A61" s="25">
        <v>10502</v>
      </c>
      <c r="B61" s="26" t="s">
        <v>193</v>
      </c>
      <c r="C61" s="24">
        <v>25000000</v>
      </c>
      <c r="D61" s="7">
        <f>477300+246750+42450</f>
        <v>766500</v>
      </c>
      <c r="E61" s="7">
        <f>83900+83900+28950+77100+35350+34300+58450+18650+40500+37500+34300+112200+37500+32050+1146800+32050+28950+44950</f>
        <v>1967400</v>
      </c>
      <c r="F61" s="7">
        <f>5150+8350+8350+422650+36050+58450+31500+39246.79+77200+39247+38550+38550+13500+8350+8350+19900+5150+3200+5150+34750+34750</f>
        <v>936393.79</v>
      </c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5">
      <c r="A62" s="25">
        <v>10503</v>
      </c>
      <c r="B62" s="26" t="s">
        <v>194</v>
      </c>
      <c r="C62" s="24">
        <v>3000000</v>
      </c>
      <c r="D62" s="9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5">
      <c r="A63" s="25">
        <v>10504</v>
      </c>
      <c r="B63" s="26" t="s">
        <v>195</v>
      </c>
      <c r="C63" s="24">
        <v>4500000</v>
      </c>
      <c r="D63" s="7"/>
      <c r="E63" s="7"/>
      <c r="F63" s="7">
        <v>1189963.54</v>
      </c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5">
      <c r="A64" s="28">
        <v>106</v>
      </c>
      <c r="B64" s="23" t="s">
        <v>196</v>
      </c>
      <c r="C64" s="24">
        <f>+C65</f>
        <v>38000000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5">
      <c r="A65" s="25">
        <v>10601</v>
      </c>
      <c r="B65" s="26" t="s">
        <v>197</v>
      </c>
      <c r="C65" s="24">
        <v>38000000</v>
      </c>
      <c r="D65" s="7"/>
      <c r="E65" s="7">
        <f>7248136+4915500+6393728</f>
        <v>18557364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5">
      <c r="A66" s="28">
        <v>107</v>
      </c>
      <c r="B66" s="23" t="s">
        <v>198</v>
      </c>
      <c r="C66" s="24">
        <f>+C67+C68+C69</f>
        <v>13200000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15">
      <c r="A67" s="25">
        <v>10701</v>
      </c>
      <c r="B67" s="26" t="s">
        <v>199</v>
      </c>
      <c r="C67" s="24">
        <v>10000000</v>
      </c>
      <c r="D67" s="7"/>
      <c r="E67" s="7">
        <f>162000+154356.3+250000+85600</f>
        <v>651956.3</v>
      </c>
      <c r="F67" s="7">
        <v>30455.09</v>
      </c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5">
      <c r="A68" s="25">
        <v>10702</v>
      </c>
      <c r="B68" s="26" t="s">
        <v>200</v>
      </c>
      <c r="C68" s="24">
        <v>3000000</v>
      </c>
      <c r="D68" s="7"/>
      <c r="E68" s="7"/>
      <c r="F68" s="7">
        <v>14520</v>
      </c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5">
      <c r="A69" s="25">
        <v>10703</v>
      </c>
      <c r="B69" s="26" t="s">
        <v>201</v>
      </c>
      <c r="C69" s="24">
        <v>200000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5">
      <c r="A70" s="28">
        <v>108</v>
      </c>
      <c r="B70" s="23" t="s">
        <v>202</v>
      </c>
      <c r="C70" s="24">
        <f>+C71+C72+C73+C74+C75+C76+C77</f>
        <v>50500000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5">
      <c r="A71" s="25">
        <v>10801</v>
      </c>
      <c r="B71" s="26" t="s">
        <v>203</v>
      </c>
      <c r="C71" s="24">
        <v>27000000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5">
      <c r="A72" s="25">
        <v>10804</v>
      </c>
      <c r="B72" s="26" t="s">
        <v>204</v>
      </c>
      <c r="C72" s="24">
        <v>5600000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5">
      <c r="A73" s="25">
        <v>10805</v>
      </c>
      <c r="B73" s="26" t="s">
        <v>205</v>
      </c>
      <c r="C73" s="24">
        <v>11000000</v>
      </c>
      <c r="D73" s="7">
        <v>11000</v>
      </c>
      <c r="E73" s="7">
        <v>82100</v>
      </c>
      <c r="F73" s="7">
        <f>26000+31000</f>
        <v>57000</v>
      </c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5">
      <c r="A74" s="25">
        <v>10806</v>
      </c>
      <c r="B74" s="26" t="s">
        <v>206</v>
      </c>
      <c r="C74" s="24">
        <v>750000</v>
      </c>
      <c r="D74" s="7"/>
      <c r="E74" s="7"/>
      <c r="F74" s="7">
        <v>27600</v>
      </c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5">
      <c r="A75" s="25">
        <v>10807</v>
      </c>
      <c r="B75" s="26" t="s">
        <v>207</v>
      </c>
      <c r="C75" s="24">
        <v>3500000</v>
      </c>
      <c r="D75" s="7"/>
      <c r="E75" s="7"/>
      <c r="F75" s="7">
        <v>22893.6</v>
      </c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5">
      <c r="A76" s="25">
        <v>10808</v>
      </c>
      <c r="B76" s="26" t="s">
        <v>208</v>
      </c>
      <c r="C76" s="24">
        <v>2500000</v>
      </c>
      <c r="D76" s="7">
        <v>28647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ht="15">
      <c r="A77" s="25">
        <v>10899</v>
      </c>
      <c r="B77" s="26" t="s">
        <v>209</v>
      </c>
      <c r="C77" s="24">
        <v>150000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15">
      <c r="A78" s="28">
        <v>109</v>
      </c>
      <c r="B78" s="23" t="s">
        <v>210</v>
      </c>
      <c r="C78" s="24">
        <f>+C79</f>
        <v>600000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15">
      <c r="A79" s="25">
        <v>10999</v>
      </c>
      <c r="B79" s="26" t="s">
        <v>211</v>
      </c>
      <c r="C79" s="24">
        <v>600000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15">
      <c r="A80" s="28">
        <v>199</v>
      </c>
      <c r="B80" s="23" t="s">
        <v>212</v>
      </c>
      <c r="C80" s="24">
        <f>+C81+C82+C83</f>
        <v>500000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15">
      <c r="A81" s="25">
        <v>19905</v>
      </c>
      <c r="B81" s="26" t="s">
        <v>213</v>
      </c>
      <c r="C81" s="24">
        <v>500000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15">
      <c r="A82" s="25">
        <v>19902</v>
      </c>
      <c r="B82" s="26" t="s">
        <v>214</v>
      </c>
      <c r="C82" s="2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15">
      <c r="A83" s="25">
        <v>19999</v>
      </c>
      <c r="B83" s="26" t="s">
        <v>215</v>
      </c>
      <c r="C83" s="24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15">
      <c r="A84" s="25"/>
      <c r="B84" s="26"/>
      <c r="C84" s="2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15">
      <c r="A85" s="25"/>
      <c r="B85" s="26"/>
      <c r="C85" s="2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ht="15">
      <c r="A86" s="25"/>
      <c r="B86" s="26"/>
      <c r="C86" s="2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ht="15">
      <c r="A87" s="19" t="s">
        <v>216</v>
      </c>
      <c r="B87" s="20" t="s">
        <v>217</v>
      </c>
      <c r="C87" s="21">
        <f>+C88+C95+C99+C107+C110</f>
        <v>48550000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ht="15">
      <c r="A88" s="28">
        <v>201</v>
      </c>
      <c r="B88" s="23" t="s">
        <v>218</v>
      </c>
      <c r="C88" s="24">
        <f>+C89+C90+C91+C92</f>
        <v>23700000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15">
      <c r="A89" s="25">
        <v>20101</v>
      </c>
      <c r="B89" s="26" t="s">
        <v>219</v>
      </c>
      <c r="C89" s="24">
        <v>12000000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15">
      <c r="A90" s="25">
        <v>20102</v>
      </c>
      <c r="B90" s="26" t="s">
        <v>220</v>
      </c>
      <c r="C90" s="24">
        <v>1500000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15">
      <c r="A91" s="25">
        <v>20104</v>
      </c>
      <c r="B91" s="26" t="s">
        <v>221</v>
      </c>
      <c r="C91" s="24">
        <v>10000000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5">
      <c r="A92" s="25">
        <v>20199</v>
      </c>
      <c r="B92" s="26" t="s">
        <v>222</v>
      </c>
      <c r="C92" s="24">
        <v>200000</v>
      </c>
      <c r="D92" s="7">
        <v>37029.98</v>
      </c>
      <c r="E92" s="7">
        <v>8990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15">
      <c r="A93" s="25"/>
      <c r="B93" s="26"/>
      <c r="C93" s="24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15">
      <c r="A94" s="25"/>
      <c r="B94" s="26"/>
      <c r="C94" s="2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ht="15">
      <c r="A95" s="28">
        <v>202</v>
      </c>
      <c r="B95" s="23" t="s">
        <v>223</v>
      </c>
      <c r="C95" s="24">
        <f>+C96+C97+C98</f>
        <v>1700000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15">
      <c r="A96" s="25">
        <v>20201</v>
      </c>
      <c r="B96" s="26" t="s">
        <v>224</v>
      </c>
      <c r="C96" s="24">
        <v>0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5">
      <c r="A97" s="25">
        <v>20202</v>
      </c>
      <c r="B97" s="26" t="s">
        <v>225</v>
      </c>
      <c r="C97" s="24">
        <v>0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5">
      <c r="A98" s="25">
        <v>20203</v>
      </c>
      <c r="B98" s="26" t="s">
        <v>226</v>
      </c>
      <c r="C98" s="24">
        <v>1700000</v>
      </c>
      <c r="D98" s="7">
        <v>3100</v>
      </c>
      <c r="E98" s="7">
        <v>16452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5">
      <c r="A99" s="28">
        <v>203</v>
      </c>
      <c r="B99" s="23" t="s">
        <v>227</v>
      </c>
      <c r="C99" s="24">
        <f>+C100+C101+C102+C103+C104+C105+C106</f>
        <v>6100000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5">
      <c r="A100" s="25">
        <v>20301</v>
      </c>
      <c r="B100" s="26" t="s">
        <v>228</v>
      </c>
      <c r="C100" s="24">
        <v>200000</v>
      </c>
      <c r="D100" s="7"/>
      <c r="E100" s="7"/>
      <c r="F100" s="7">
        <v>68800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15">
      <c r="A101" s="25">
        <v>20302</v>
      </c>
      <c r="B101" s="26" t="s">
        <v>229</v>
      </c>
      <c r="C101" s="24">
        <v>200000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15">
      <c r="A102" s="25">
        <v>20303</v>
      </c>
      <c r="B102" s="26" t="s">
        <v>230</v>
      </c>
      <c r="C102" s="24">
        <v>150000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15">
      <c r="A103" s="25">
        <v>20304</v>
      </c>
      <c r="B103" s="26" t="s">
        <v>231</v>
      </c>
      <c r="C103" s="24">
        <v>4200000</v>
      </c>
      <c r="D103" s="7">
        <v>17908</v>
      </c>
      <c r="E103" s="7">
        <v>13998.17</v>
      </c>
      <c r="F103" s="7">
        <v>57046.39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15">
      <c r="A104" s="25">
        <v>20305</v>
      </c>
      <c r="B104" s="26" t="s">
        <v>232</v>
      </c>
      <c r="C104" s="24">
        <v>50000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15">
      <c r="A105" s="25">
        <v>20306</v>
      </c>
      <c r="B105" s="26" t="s">
        <v>233</v>
      </c>
      <c r="C105" s="24">
        <v>700000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15">
      <c r="A106" s="25">
        <v>20399</v>
      </c>
      <c r="B106" s="26" t="s">
        <v>234</v>
      </c>
      <c r="C106" s="24">
        <v>600000</v>
      </c>
      <c r="D106" s="7"/>
      <c r="E106" s="7"/>
      <c r="F106" s="7">
        <v>9509.48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1:16" ht="15">
      <c r="A107" s="28">
        <v>204</v>
      </c>
      <c r="B107" s="23" t="s">
        <v>235</v>
      </c>
      <c r="C107" s="24">
        <f>+C108+C109</f>
        <v>3500000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5">
      <c r="A108" s="25">
        <v>20401</v>
      </c>
      <c r="B108" s="26" t="s">
        <v>236</v>
      </c>
      <c r="C108" s="24">
        <v>1500000</v>
      </c>
      <c r="D108" s="7"/>
      <c r="E108" s="7"/>
      <c r="F108" s="7">
        <v>3110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15">
      <c r="A109" s="25">
        <v>20402</v>
      </c>
      <c r="B109" s="26" t="s">
        <v>237</v>
      </c>
      <c r="C109" s="24">
        <v>2000000</v>
      </c>
      <c r="D109" s="7">
        <v>24150</v>
      </c>
      <c r="E109" s="7">
        <v>51750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5">
      <c r="A110" s="28">
        <v>299</v>
      </c>
      <c r="B110" s="23" t="s">
        <v>238</v>
      </c>
      <c r="C110" s="24">
        <f>+C111+C112+C113+C114+C115+C116+C117+C118</f>
        <v>13550000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5">
      <c r="A111" s="25">
        <v>29901</v>
      </c>
      <c r="B111" s="26" t="s">
        <v>239</v>
      </c>
      <c r="C111" s="24">
        <v>2000000</v>
      </c>
      <c r="D111" s="7"/>
      <c r="E111" s="7"/>
      <c r="F111" s="7">
        <v>13665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5">
      <c r="A112" s="25">
        <v>29902</v>
      </c>
      <c r="B112" s="26" t="s">
        <v>240</v>
      </c>
      <c r="C112" s="24">
        <v>350000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5">
      <c r="A113" s="25">
        <v>29903</v>
      </c>
      <c r="B113" s="26" t="s">
        <v>241</v>
      </c>
      <c r="C113" s="24">
        <v>8000000</v>
      </c>
      <c r="D113" s="7">
        <f>740+252000+500000</f>
        <v>752740</v>
      </c>
      <c r="E113" s="7">
        <f>796000+13528.02</f>
        <v>809528.02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5">
      <c r="A114" s="25">
        <v>29904</v>
      </c>
      <c r="B114" s="26" t="s">
        <v>242</v>
      </c>
      <c r="C114" s="24">
        <v>1500000</v>
      </c>
      <c r="D114" s="7">
        <v>6995</v>
      </c>
      <c r="E114" s="7">
        <v>10900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5">
      <c r="A115" s="25">
        <v>29905</v>
      </c>
      <c r="B115" s="26" t="s">
        <v>243</v>
      </c>
      <c r="C115" s="24">
        <v>1000000</v>
      </c>
      <c r="D115" s="7"/>
      <c r="E115" s="7"/>
      <c r="F115" s="7">
        <v>20100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15">
      <c r="A116" s="25">
        <v>29906</v>
      </c>
      <c r="B116" s="26" t="s">
        <v>244</v>
      </c>
      <c r="C116" s="24">
        <v>200000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15">
      <c r="A117" s="25">
        <v>29907</v>
      </c>
      <c r="B117" s="26" t="s">
        <v>245</v>
      </c>
      <c r="C117" s="24">
        <v>300000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 ht="15">
      <c r="A118" s="25">
        <v>29999</v>
      </c>
      <c r="B118" s="26" t="s">
        <v>246</v>
      </c>
      <c r="C118" s="24">
        <v>200000</v>
      </c>
      <c r="D118" s="7">
        <v>2300</v>
      </c>
      <c r="E118" s="7">
        <v>18268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1:16" ht="15">
      <c r="A119" s="25"/>
      <c r="B119" s="26"/>
      <c r="C119" s="24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15">
      <c r="A120" s="19" t="s">
        <v>247</v>
      </c>
      <c r="B120" s="20" t="s">
        <v>248</v>
      </c>
      <c r="C120" s="21">
        <f>+C121+C129+C134</f>
        <v>154030000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15">
      <c r="A121" s="28">
        <v>501</v>
      </c>
      <c r="B121" s="23" t="s">
        <v>249</v>
      </c>
      <c r="C121" s="24">
        <f>+C122+C123+C124+C125+C126+C127+C128</f>
        <v>140000000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 ht="15">
      <c r="A122" s="25">
        <v>50102</v>
      </c>
      <c r="B122" s="26" t="s">
        <v>250</v>
      </c>
      <c r="C122" s="24">
        <v>60000000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15">
      <c r="A123" s="25">
        <v>50103</v>
      </c>
      <c r="B123" s="26" t="s">
        <v>251</v>
      </c>
      <c r="C123" s="24">
        <v>10000000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5">
      <c r="A124" s="25">
        <v>50104</v>
      </c>
      <c r="B124" s="26" t="s">
        <v>252</v>
      </c>
      <c r="C124" s="24">
        <v>20000000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6" ht="15">
      <c r="A125" s="25">
        <v>50105</v>
      </c>
      <c r="B125" s="26" t="s">
        <v>253</v>
      </c>
      <c r="C125" s="24">
        <v>50000000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15">
      <c r="A126" s="25">
        <v>50106</v>
      </c>
      <c r="B126" s="26" t="s">
        <v>254</v>
      </c>
      <c r="C126" s="24">
        <v>0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ht="15">
      <c r="A127" s="25">
        <v>50107</v>
      </c>
      <c r="B127" s="26" t="s">
        <v>255</v>
      </c>
      <c r="C127" s="24">
        <v>0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 ht="15">
      <c r="A128" s="25">
        <v>50199</v>
      </c>
      <c r="B128" s="26" t="s">
        <v>256</v>
      </c>
      <c r="C128" s="24">
        <v>0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15">
      <c r="A129" s="28">
        <v>502</v>
      </c>
      <c r="B129" s="23" t="s">
        <v>257</v>
      </c>
      <c r="C129" s="24">
        <f>+C130+C131+C132</f>
        <v>0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 ht="15">
      <c r="A130" s="25">
        <v>50201</v>
      </c>
      <c r="B130" s="26" t="s">
        <v>258</v>
      </c>
      <c r="C130" s="24">
        <v>0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 ht="15">
      <c r="A131" s="25">
        <v>50207</v>
      </c>
      <c r="B131" s="26" t="s">
        <v>259</v>
      </c>
      <c r="C131" s="24">
        <v>0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5">
      <c r="A132" s="25">
        <v>50299</v>
      </c>
      <c r="B132" s="26" t="s">
        <v>260</v>
      </c>
      <c r="C132" s="24">
        <v>0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15">
      <c r="A133" s="25"/>
      <c r="B133" s="26"/>
      <c r="C133" s="2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ht="15">
      <c r="A134" s="28">
        <v>599</v>
      </c>
      <c r="B134" s="23" t="s">
        <v>261</v>
      </c>
      <c r="C134" s="24">
        <f>+C135+C136</f>
        <v>14030000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 ht="15">
      <c r="A135" s="25">
        <v>59903</v>
      </c>
      <c r="B135" s="26" t="s">
        <v>262</v>
      </c>
      <c r="C135" s="24">
        <v>14030000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5">
      <c r="A136" s="25">
        <v>59999</v>
      </c>
      <c r="B136" s="26" t="s">
        <v>263</v>
      </c>
      <c r="C136" s="2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5">
      <c r="A137" s="25"/>
      <c r="B137" s="26"/>
      <c r="C137" s="24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 ht="15">
      <c r="A138" s="19" t="s">
        <v>264</v>
      </c>
      <c r="B138" s="20" t="s">
        <v>265</v>
      </c>
      <c r="C138" s="21">
        <f>+C139+C141+C145+C148+C150+C152</f>
        <v>112206000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 ht="15">
      <c r="A139" s="28">
        <v>601</v>
      </c>
      <c r="B139" s="23" t="s">
        <v>266</v>
      </c>
      <c r="C139" s="24">
        <f>+C140</f>
        <v>53456000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15">
      <c r="A140" s="25">
        <v>60103</v>
      </c>
      <c r="B140" s="26" t="s">
        <v>267</v>
      </c>
      <c r="C140" s="24">
        <v>53456000</v>
      </c>
      <c r="D140" s="7">
        <v>17095529.17</v>
      </c>
      <c r="E140" s="7">
        <f>3362909.43+684206.85</f>
        <v>4047116.2800000003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1:16" ht="15">
      <c r="A141" s="28">
        <v>602</v>
      </c>
      <c r="B141" s="23" t="s">
        <v>268</v>
      </c>
      <c r="C141" s="24">
        <f>+C142+C143+C144</f>
        <v>750000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 ht="15">
      <c r="A142" s="25">
        <v>60201</v>
      </c>
      <c r="B142" s="26" t="s">
        <v>269</v>
      </c>
      <c r="C142" s="24">
        <v>0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15">
      <c r="A143" s="25">
        <v>60202</v>
      </c>
      <c r="B143" s="26" t="s">
        <v>270</v>
      </c>
      <c r="C143" s="24">
        <v>750000</v>
      </c>
      <c r="D143" s="7"/>
      <c r="E143" s="7"/>
      <c r="F143" s="7">
        <f>23100+33930+50050+64090</f>
        <v>171170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15">
      <c r="A144" s="25">
        <v>60299</v>
      </c>
      <c r="B144" s="26" t="s">
        <v>271</v>
      </c>
      <c r="C144" s="24">
        <v>0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15">
      <c r="A145" s="28">
        <v>603</v>
      </c>
      <c r="B145" s="23" t="s">
        <v>272</v>
      </c>
      <c r="C145" s="24">
        <f>+C146+C147</f>
        <v>54700000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 ht="15">
      <c r="A146" s="25">
        <v>60301</v>
      </c>
      <c r="B146" s="26" t="s">
        <v>273</v>
      </c>
      <c r="C146" s="24">
        <v>27700000</v>
      </c>
      <c r="D146" s="7"/>
      <c r="E146" s="7">
        <v>6799708.35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5">
      <c r="A147" s="25">
        <v>60399</v>
      </c>
      <c r="B147" s="26" t="s">
        <v>274</v>
      </c>
      <c r="C147" s="24">
        <v>27000000</v>
      </c>
      <c r="D147" s="7">
        <f>699334+292197</f>
        <v>991531</v>
      </c>
      <c r="E147" s="7">
        <f>636356+994912</f>
        <v>1631268</v>
      </c>
      <c r="F147" s="7">
        <f>1496972+752335.91</f>
        <v>2249307.91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5">
      <c r="A148" s="28">
        <v>604</v>
      </c>
      <c r="B148" s="23" t="s">
        <v>275</v>
      </c>
      <c r="C148" s="24">
        <f>+C149</f>
        <v>0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7"/>
    </row>
    <row r="149" spans="1:16" ht="15">
      <c r="A149" s="25">
        <v>60402</v>
      </c>
      <c r="B149" s="26" t="s">
        <v>276</v>
      </c>
      <c r="C149" s="24">
        <v>0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7"/>
    </row>
    <row r="150" spans="1:16" ht="15">
      <c r="A150" s="28">
        <v>606</v>
      </c>
      <c r="B150" s="23" t="s">
        <v>277</v>
      </c>
      <c r="C150" s="24">
        <f>+C151</f>
        <v>300000</v>
      </c>
      <c r="D150" s="102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">
      <c r="A151" s="25">
        <v>60601</v>
      </c>
      <c r="B151" s="26" t="s">
        <v>278</v>
      </c>
      <c r="C151" s="24">
        <v>300000</v>
      </c>
      <c r="D151" s="102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5">
      <c r="A152" s="28">
        <v>607</v>
      </c>
      <c r="B152" s="23" t="s">
        <v>286</v>
      </c>
      <c r="C152" s="24">
        <f>+C153</f>
        <v>3000000</v>
      </c>
      <c r="D152" s="102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5">
      <c r="A153" s="25">
        <v>60701</v>
      </c>
      <c r="B153" s="26" t="s">
        <v>287</v>
      </c>
      <c r="C153" s="24">
        <v>3000000</v>
      </c>
      <c r="D153" s="7">
        <v>2977758.5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.75" thickBot="1">
      <c r="A154" s="25"/>
      <c r="B154" s="26"/>
      <c r="C154" s="24"/>
      <c r="D154" s="39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.75" thickBot="1">
      <c r="A155" s="26"/>
      <c r="B155" s="29" t="s">
        <v>288</v>
      </c>
      <c r="C155" s="101">
        <f>+C138+C120+C87+C31+C4</f>
        <v>6361000000</v>
      </c>
      <c r="D155" s="42">
        <f>SUM(D4:D153)</f>
        <v>644756032.4</v>
      </c>
      <c r="E155" s="42">
        <f>SUM(E4:E153)</f>
        <v>445993310.37</v>
      </c>
      <c r="F155" s="30">
        <f aca="true" t="shared" si="0" ref="F155:O155">SUM(F6:F151)</f>
        <v>375243076.1100001</v>
      </c>
      <c r="G155" s="30">
        <f t="shared" si="0"/>
        <v>0</v>
      </c>
      <c r="H155" s="30">
        <f t="shared" si="0"/>
        <v>0</v>
      </c>
      <c r="I155" s="30">
        <f t="shared" si="0"/>
        <v>0</v>
      </c>
      <c r="J155" s="30">
        <f t="shared" si="0"/>
        <v>0</v>
      </c>
      <c r="K155" s="30">
        <f>SUM(K6:K154)</f>
        <v>0</v>
      </c>
      <c r="L155" s="30">
        <f t="shared" si="0"/>
        <v>0</v>
      </c>
      <c r="M155" s="30">
        <f t="shared" si="0"/>
        <v>0</v>
      </c>
      <c r="N155" s="30">
        <f t="shared" si="0"/>
        <v>0</v>
      </c>
      <c r="O155" s="30">
        <f t="shared" si="0"/>
        <v>0</v>
      </c>
      <c r="P155" s="7">
        <f>SUM(D155:O155)</f>
        <v>1465992418.88</v>
      </c>
    </row>
    <row r="156" spans="3:16" ht="15">
      <c r="C156" s="31"/>
      <c r="D156" s="41" t="s">
        <v>16</v>
      </c>
      <c r="E156" s="7" t="s">
        <v>16</v>
      </c>
      <c r="F156" s="7"/>
      <c r="G156" s="7"/>
      <c r="H156" s="7" t="s">
        <v>16</v>
      </c>
      <c r="I156" s="7" t="s">
        <v>16</v>
      </c>
      <c r="J156" s="7" t="s">
        <v>16</v>
      </c>
      <c r="K156" s="7"/>
      <c r="L156" s="7" t="s">
        <v>16</v>
      </c>
      <c r="M156" s="7" t="s">
        <v>16</v>
      </c>
      <c r="N156" s="7"/>
      <c r="O156" s="7"/>
      <c r="P156" s="7"/>
    </row>
    <row r="157" ht="15">
      <c r="L157" s="97" t="s">
        <v>16</v>
      </c>
    </row>
    <row r="158" ht="15">
      <c r="N158" s="3" t="s">
        <v>16</v>
      </c>
    </row>
    <row r="159" ht="15">
      <c r="P159" s="3" t="s">
        <v>16</v>
      </c>
    </row>
  </sheetData>
  <sheetProtection/>
  <printOptions/>
  <pageMargins left="0.7" right="0.7" top="0.75" bottom="0.75" header="0.3" footer="0.3"/>
  <pageSetup horizontalDpi="600" verticalDpi="600" orientation="landscape" paperSize="5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241"/>
  <sheetViews>
    <sheetView tabSelected="1" zoomScalePageLayoutView="0" workbookViewId="0" topLeftCell="A14">
      <selection activeCell="D28" sqref="D28"/>
    </sheetView>
  </sheetViews>
  <sheetFormatPr defaultColWidth="11.421875" defaultRowHeight="15"/>
  <cols>
    <col min="1" max="1" width="38.28125" style="0" bestFit="1" customWidth="1"/>
    <col min="2" max="2" width="12.00390625" style="0" customWidth="1"/>
    <col min="3" max="3" width="20.00390625" style="0" bestFit="1" customWidth="1"/>
    <col min="4" max="4" width="50.8515625" style="0" customWidth="1"/>
    <col min="5" max="5" width="173.57421875" style="0" bestFit="1" customWidth="1"/>
  </cols>
  <sheetData>
    <row r="1" spans="1:12" ht="15">
      <c r="A1" s="32" t="s">
        <v>289</v>
      </c>
      <c r="B1" s="33"/>
      <c r="C1" s="9"/>
      <c r="D1" s="9"/>
      <c r="E1" s="9"/>
      <c r="F1" s="7"/>
      <c r="G1" s="7"/>
      <c r="H1" s="9"/>
      <c r="I1" s="9"/>
      <c r="J1" s="9"/>
      <c r="K1" s="9"/>
      <c r="L1" s="9"/>
    </row>
    <row r="2" spans="1:12" ht="15">
      <c r="A2" s="29" t="s">
        <v>295</v>
      </c>
      <c r="B2" s="33"/>
      <c r="C2" s="9"/>
      <c r="D2" s="9"/>
      <c r="E2" s="36"/>
      <c r="F2" s="7"/>
      <c r="G2" s="7"/>
      <c r="H2" s="9"/>
      <c r="I2" s="9"/>
      <c r="J2" s="9"/>
      <c r="K2" s="9"/>
      <c r="L2" s="9"/>
    </row>
    <row r="3" spans="1:12" ht="15">
      <c r="A3" s="29" t="s">
        <v>290</v>
      </c>
      <c r="B3" s="33"/>
      <c r="C3" s="9"/>
      <c r="D3" s="9"/>
      <c r="E3" s="36"/>
      <c r="F3" s="7"/>
      <c r="G3" s="7"/>
      <c r="H3" s="9"/>
      <c r="I3" s="9"/>
      <c r="J3" s="9"/>
      <c r="K3" s="9"/>
      <c r="L3" s="9"/>
    </row>
    <row r="4" spans="1:23" ht="15">
      <c r="A4" s="34" t="s">
        <v>16</v>
      </c>
      <c r="B4" s="35" t="s">
        <v>16</v>
      </c>
      <c r="C4" s="9"/>
      <c r="D4" s="9"/>
      <c r="E4" s="36"/>
      <c r="F4" s="7"/>
      <c r="G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5">
      <c r="A5" s="34" t="s">
        <v>296</v>
      </c>
      <c r="B5" s="35">
        <v>43165</v>
      </c>
      <c r="C5" s="9" t="s">
        <v>297</v>
      </c>
      <c r="D5" s="9" t="s">
        <v>298</v>
      </c>
      <c r="E5" s="9" t="s">
        <v>299</v>
      </c>
      <c r="F5" s="7">
        <v>86585</v>
      </c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5">
      <c r="A6" s="34" t="s">
        <v>300</v>
      </c>
      <c r="B6" s="35">
        <v>43168</v>
      </c>
      <c r="C6" s="9" t="s">
        <v>297</v>
      </c>
      <c r="D6" s="9" t="s">
        <v>301</v>
      </c>
      <c r="E6" s="9" t="s">
        <v>302</v>
      </c>
      <c r="F6" s="7">
        <v>38550</v>
      </c>
      <c r="G6" s="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">
      <c r="A7" s="34" t="s">
        <v>303</v>
      </c>
      <c r="B7" s="35">
        <v>43168</v>
      </c>
      <c r="C7" s="9" t="s">
        <v>297</v>
      </c>
      <c r="D7" s="9" t="s">
        <v>304</v>
      </c>
      <c r="E7" s="9" t="s">
        <v>305</v>
      </c>
      <c r="F7" s="7">
        <v>36050</v>
      </c>
      <c r="G7" s="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5">
      <c r="A8" s="34" t="s">
        <v>306</v>
      </c>
      <c r="B8" s="35">
        <v>43168</v>
      </c>
      <c r="C8" s="9" t="s">
        <v>297</v>
      </c>
      <c r="D8" s="9" t="s">
        <v>307</v>
      </c>
      <c r="E8" s="9" t="s">
        <v>499</v>
      </c>
      <c r="F8" s="7">
        <v>6100</v>
      </c>
      <c r="G8" s="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">
      <c r="A9" s="34" t="s">
        <v>308</v>
      </c>
      <c r="B9" s="35">
        <v>43171</v>
      </c>
      <c r="C9" s="9" t="s">
        <v>297</v>
      </c>
      <c r="D9" s="9" t="s">
        <v>309</v>
      </c>
      <c r="E9" s="9" t="s">
        <v>310</v>
      </c>
      <c r="F9" s="7">
        <v>435810.51</v>
      </c>
      <c r="G9" s="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">
      <c r="A10" s="34" t="s">
        <v>311</v>
      </c>
      <c r="B10" s="35">
        <v>43171</v>
      </c>
      <c r="C10" s="9" t="s">
        <v>297</v>
      </c>
      <c r="D10" s="9" t="s">
        <v>312</v>
      </c>
      <c r="E10" s="9" t="s">
        <v>313</v>
      </c>
      <c r="F10" s="7">
        <v>402033.14</v>
      </c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5">
      <c r="A11" s="34" t="s">
        <v>314</v>
      </c>
      <c r="B11" s="35">
        <v>43171</v>
      </c>
      <c r="C11" s="9" t="s">
        <v>297</v>
      </c>
      <c r="D11" s="9" t="s">
        <v>315</v>
      </c>
      <c r="E11" s="9" t="s">
        <v>316</v>
      </c>
      <c r="F11" s="7">
        <v>513709.01</v>
      </c>
      <c r="G11" s="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5">
      <c r="A12" s="34" t="s">
        <v>317</v>
      </c>
      <c r="B12" s="35">
        <v>43174</v>
      </c>
      <c r="C12" s="9" t="s">
        <v>297</v>
      </c>
      <c r="D12" s="9" t="s">
        <v>318</v>
      </c>
      <c r="E12" s="9" t="s">
        <v>319</v>
      </c>
      <c r="F12" s="7">
        <v>34750</v>
      </c>
      <c r="G12" s="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5">
      <c r="A13" s="34" t="s">
        <v>320</v>
      </c>
      <c r="B13" s="35">
        <v>43175</v>
      </c>
      <c r="C13" s="9" t="s">
        <v>297</v>
      </c>
      <c r="D13" s="9" t="s">
        <v>321</v>
      </c>
      <c r="E13" s="9" t="s">
        <v>322</v>
      </c>
      <c r="F13" s="7">
        <v>126450</v>
      </c>
      <c r="G13" s="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5">
      <c r="A14" s="34" t="s">
        <v>323</v>
      </c>
      <c r="B14" s="35">
        <v>43175</v>
      </c>
      <c r="C14" s="9" t="s">
        <v>297</v>
      </c>
      <c r="D14" s="9" t="s">
        <v>324</v>
      </c>
      <c r="E14" s="9" t="s">
        <v>325</v>
      </c>
      <c r="F14" s="7">
        <v>208557</v>
      </c>
      <c r="G14" s="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">
      <c r="A15" s="34" t="s">
        <v>326</v>
      </c>
      <c r="B15" s="35">
        <v>43175</v>
      </c>
      <c r="C15" s="9" t="s">
        <v>297</v>
      </c>
      <c r="D15" s="9" t="s">
        <v>327</v>
      </c>
      <c r="E15" s="9" t="s">
        <v>322</v>
      </c>
      <c r="F15" s="7">
        <v>126450</v>
      </c>
      <c r="G15" s="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">
      <c r="A16" s="34" t="s">
        <v>328</v>
      </c>
      <c r="B16" s="35">
        <v>43175</v>
      </c>
      <c r="C16" s="9" t="s">
        <v>297</v>
      </c>
      <c r="D16" s="9" t="s">
        <v>329</v>
      </c>
      <c r="E16" s="9" t="s">
        <v>322</v>
      </c>
      <c r="F16" s="7">
        <v>126450</v>
      </c>
      <c r="G16" s="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">
      <c r="A17" s="34" t="s">
        <v>330</v>
      </c>
      <c r="B17" s="35">
        <v>43175</v>
      </c>
      <c r="C17" s="9" t="s">
        <v>297</v>
      </c>
      <c r="D17" s="9" t="s">
        <v>331</v>
      </c>
      <c r="E17" s="9" t="s">
        <v>500</v>
      </c>
      <c r="F17" s="7">
        <v>35160</v>
      </c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5">
      <c r="A18" s="34" t="s">
        <v>332</v>
      </c>
      <c r="B18" s="35">
        <v>43175</v>
      </c>
      <c r="C18" s="9" t="s">
        <v>297</v>
      </c>
      <c r="D18" s="9" t="s">
        <v>333</v>
      </c>
      <c r="E18" s="9" t="s">
        <v>501</v>
      </c>
      <c r="F18" s="7">
        <v>22352</v>
      </c>
      <c r="G18" s="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5">
      <c r="A19" s="34" t="s">
        <v>334</v>
      </c>
      <c r="B19" s="35">
        <v>43178</v>
      </c>
      <c r="C19" s="9" t="s">
        <v>297</v>
      </c>
      <c r="D19" s="9" t="s">
        <v>335</v>
      </c>
      <c r="E19" s="9" t="s">
        <v>336</v>
      </c>
      <c r="F19" s="7">
        <v>50000</v>
      </c>
      <c r="G19" s="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5">
      <c r="A20" s="34" t="s">
        <v>337</v>
      </c>
      <c r="B20" s="35">
        <v>43179</v>
      </c>
      <c r="C20" s="9" t="s">
        <v>297</v>
      </c>
      <c r="D20" s="9" t="s">
        <v>298</v>
      </c>
      <c r="E20" s="9" t="s">
        <v>338</v>
      </c>
      <c r="F20" s="7">
        <v>111460</v>
      </c>
      <c r="G20" s="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5">
      <c r="A21" s="34" t="s">
        <v>339</v>
      </c>
      <c r="B21" s="35">
        <v>43179</v>
      </c>
      <c r="C21" s="9" t="s">
        <v>297</v>
      </c>
      <c r="D21" s="9" t="s">
        <v>340</v>
      </c>
      <c r="E21" s="9" t="s">
        <v>341</v>
      </c>
      <c r="F21" s="7">
        <v>64550</v>
      </c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5">
      <c r="A22" s="34" t="s">
        <v>342</v>
      </c>
      <c r="B22" s="35">
        <v>43179</v>
      </c>
      <c r="C22" s="9" t="s">
        <v>297</v>
      </c>
      <c r="D22" s="9" t="s">
        <v>343</v>
      </c>
      <c r="E22" s="9" t="s">
        <v>344</v>
      </c>
      <c r="F22" s="7">
        <v>64550</v>
      </c>
      <c r="G22" s="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5">
      <c r="A23" s="34" t="s">
        <v>345</v>
      </c>
      <c r="B23" s="35">
        <v>43181</v>
      </c>
      <c r="C23" s="9" t="s">
        <v>297</v>
      </c>
      <c r="D23" s="9" t="s">
        <v>346</v>
      </c>
      <c r="E23" s="9" t="s">
        <v>347</v>
      </c>
      <c r="F23" s="7">
        <v>20000</v>
      </c>
      <c r="G23" s="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5">
      <c r="A24" s="34" t="s">
        <v>348</v>
      </c>
      <c r="B24" s="35">
        <v>43181</v>
      </c>
      <c r="C24" s="9" t="s">
        <v>297</v>
      </c>
      <c r="D24" s="9" t="s">
        <v>349</v>
      </c>
      <c r="E24" s="9" t="s">
        <v>350</v>
      </c>
      <c r="F24" s="7">
        <v>60000</v>
      </c>
      <c r="G24" s="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5">
      <c r="A25" s="34" t="s">
        <v>351</v>
      </c>
      <c r="B25" s="35">
        <v>43181</v>
      </c>
      <c r="C25" s="9" t="s">
        <v>297</v>
      </c>
      <c r="D25" s="9" t="s">
        <v>352</v>
      </c>
      <c r="E25" s="9" t="s">
        <v>353</v>
      </c>
      <c r="F25" s="7">
        <v>52640</v>
      </c>
      <c r="G25" s="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5">
      <c r="A26" s="34" t="s">
        <v>354</v>
      </c>
      <c r="B26" s="35">
        <v>43181</v>
      </c>
      <c r="C26" s="9" t="s">
        <v>297</v>
      </c>
      <c r="D26" s="9" t="s">
        <v>355</v>
      </c>
      <c r="E26" s="9" t="s">
        <v>356</v>
      </c>
      <c r="F26" s="7">
        <v>42650</v>
      </c>
      <c r="G26" s="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5">
      <c r="A27" s="34" t="s">
        <v>357</v>
      </c>
      <c r="B27" s="35">
        <v>43160</v>
      </c>
      <c r="C27" s="9" t="s">
        <v>297</v>
      </c>
      <c r="D27" s="9" t="s">
        <v>358</v>
      </c>
      <c r="E27" s="9" t="s">
        <v>359</v>
      </c>
      <c r="F27" s="38">
        <v>23100</v>
      </c>
      <c r="G27" s="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5">
      <c r="A28" s="34" t="s">
        <v>357</v>
      </c>
      <c r="B28" s="35">
        <v>43160</v>
      </c>
      <c r="C28" s="9" t="s">
        <v>297</v>
      </c>
      <c r="D28" s="9" t="s">
        <v>360</v>
      </c>
      <c r="E28" s="9" t="s">
        <v>361</v>
      </c>
      <c r="F28" s="38">
        <v>33930</v>
      </c>
      <c r="G28" s="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5">
      <c r="A29" s="34" t="s">
        <v>357</v>
      </c>
      <c r="B29" s="35">
        <v>43160</v>
      </c>
      <c r="C29" s="9" t="s">
        <v>297</v>
      </c>
      <c r="D29" s="9" t="s">
        <v>362</v>
      </c>
      <c r="E29" s="9" t="s">
        <v>363</v>
      </c>
      <c r="F29" s="38">
        <v>4869579.24</v>
      </c>
      <c r="G29" s="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5">
      <c r="A30" s="34" t="s">
        <v>357</v>
      </c>
      <c r="B30" s="35">
        <v>43160</v>
      </c>
      <c r="C30" s="9" t="s">
        <v>297</v>
      </c>
      <c r="D30" s="9" t="s">
        <v>364</v>
      </c>
      <c r="E30" s="9" t="s">
        <v>365</v>
      </c>
      <c r="F30" s="38">
        <v>20000</v>
      </c>
      <c r="G30" s="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">
      <c r="A31" s="34" t="s">
        <v>357</v>
      </c>
      <c r="B31" s="35">
        <v>43160</v>
      </c>
      <c r="C31" s="9" t="s">
        <v>297</v>
      </c>
      <c r="D31" s="9" t="s">
        <v>366</v>
      </c>
      <c r="E31" s="9" t="s">
        <v>367</v>
      </c>
      <c r="F31" s="38">
        <v>404635.2</v>
      </c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5">
      <c r="A32" s="34" t="s">
        <v>357</v>
      </c>
      <c r="B32" s="35">
        <v>43160</v>
      </c>
      <c r="C32" s="9" t="s">
        <v>297</v>
      </c>
      <c r="D32" s="9" t="s">
        <v>368</v>
      </c>
      <c r="E32" s="9" t="s">
        <v>369</v>
      </c>
      <c r="F32" s="38">
        <v>793378.6</v>
      </c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5">
      <c r="A33" s="34" t="s">
        <v>357</v>
      </c>
      <c r="B33" s="35">
        <v>43160</v>
      </c>
      <c r="C33" s="9" t="s">
        <v>297</v>
      </c>
      <c r="D33" s="9" t="s">
        <v>370</v>
      </c>
      <c r="E33" s="9" t="s">
        <v>371</v>
      </c>
      <c r="F33" s="38">
        <v>72010.2</v>
      </c>
      <c r="G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5">
      <c r="A34" s="34" t="s">
        <v>357</v>
      </c>
      <c r="B34" s="35">
        <v>43160</v>
      </c>
      <c r="C34" s="9" t="s">
        <v>297</v>
      </c>
      <c r="D34" s="9" t="s">
        <v>372</v>
      </c>
      <c r="E34" s="9" t="s">
        <v>373</v>
      </c>
      <c r="F34" s="38">
        <v>93115</v>
      </c>
      <c r="G34" s="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5">
      <c r="A35" s="34" t="s">
        <v>374</v>
      </c>
      <c r="B35" s="35">
        <v>43161</v>
      </c>
      <c r="C35" s="9" t="s">
        <v>297</v>
      </c>
      <c r="D35" s="9" t="s">
        <v>375</v>
      </c>
      <c r="E35" s="9" t="s">
        <v>376</v>
      </c>
      <c r="F35" s="38">
        <v>699114</v>
      </c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5">
      <c r="A36" s="34" t="s">
        <v>377</v>
      </c>
      <c r="B36" s="35">
        <v>43165</v>
      </c>
      <c r="C36" s="9" t="s">
        <v>297</v>
      </c>
      <c r="D36" s="9" t="s">
        <v>378</v>
      </c>
      <c r="E36" s="9" t="s">
        <v>379</v>
      </c>
      <c r="F36" s="38">
        <v>309000</v>
      </c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5">
      <c r="A37" s="34" t="s">
        <v>377</v>
      </c>
      <c r="B37" s="35">
        <v>43165</v>
      </c>
      <c r="C37" s="9" t="s">
        <v>297</v>
      </c>
      <c r="D37" s="9" t="s">
        <v>380</v>
      </c>
      <c r="E37" s="9" t="s">
        <v>381</v>
      </c>
      <c r="F37" s="38">
        <v>754600</v>
      </c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5">
      <c r="A38" s="34" t="s">
        <v>377</v>
      </c>
      <c r="B38" s="35">
        <v>43165</v>
      </c>
      <c r="C38" s="9" t="s">
        <v>297</v>
      </c>
      <c r="D38" s="9" t="s">
        <v>372</v>
      </c>
      <c r="E38" s="9" t="s">
        <v>382</v>
      </c>
      <c r="F38" s="38">
        <v>2958621</v>
      </c>
      <c r="G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5">
      <c r="A39" s="34" t="s">
        <v>377</v>
      </c>
      <c r="B39" s="35">
        <v>43165</v>
      </c>
      <c r="C39" s="9" t="s">
        <v>297</v>
      </c>
      <c r="D39" s="9" t="s">
        <v>372</v>
      </c>
      <c r="E39" s="9" t="s">
        <v>383</v>
      </c>
      <c r="F39" s="38">
        <v>152466.45</v>
      </c>
      <c r="G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5">
      <c r="A40" s="34" t="s">
        <v>377</v>
      </c>
      <c r="B40" s="35">
        <v>43165</v>
      </c>
      <c r="C40" s="9" t="s">
        <v>297</v>
      </c>
      <c r="D40" s="9" t="s">
        <v>372</v>
      </c>
      <c r="E40" s="9" t="s">
        <v>384</v>
      </c>
      <c r="F40" s="38">
        <v>180887.4</v>
      </c>
      <c r="G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5">
      <c r="A41" s="34" t="s">
        <v>377</v>
      </c>
      <c r="B41" s="35">
        <v>43165</v>
      </c>
      <c r="C41" s="9" t="s">
        <v>297</v>
      </c>
      <c r="D41" s="9" t="s">
        <v>385</v>
      </c>
      <c r="E41" s="9" t="s">
        <v>386</v>
      </c>
      <c r="F41" s="38">
        <v>490000</v>
      </c>
      <c r="G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5">
      <c r="A42" s="34" t="s">
        <v>377</v>
      </c>
      <c r="B42" s="35">
        <v>43165</v>
      </c>
      <c r="C42" s="9" t="s">
        <v>297</v>
      </c>
      <c r="D42" s="9" t="s">
        <v>385</v>
      </c>
      <c r="E42" s="9" t="s">
        <v>387</v>
      </c>
      <c r="F42" s="38">
        <v>214865.33000000002</v>
      </c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5">
      <c r="A43" s="34" t="s">
        <v>377</v>
      </c>
      <c r="B43" s="35">
        <v>43165</v>
      </c>
      <c r="C43" s="9" t="s">
        <v>297</v>
      </c>
      <c r="D43" s="9" t="s">
        <v>388</v>
      </c>
      <c r="E43" s="9" t="s">
        <v>389</v>
      </c>
      <c r="F43" s="38">
        <v>2858012.81</v>
      </c>
      <c r="G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5">
      <c r="A44" s="34" t="s">
        <v>377</v>
      </c>
      <c r="B44" s="35">
        <v>43165</v>
      </c>
      <c r="C44" s="9" t="s">
        <v>297</v>
      </c>
      <c r="D44" s="9" t="s">
        <v>390</v>
      </c>
      <c r="E44" s="9" t="s">
        <v>391</v>
      </c>
      <c r="F44" s="38">
        <v>5150</v>
      </c>
      <c r="G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5">
      <c r="A45" s="34" t="s">
        <v>377</v>
      </c>
      <c r="B45" s="35">
        <v>43165</v>
      </c>
      <c r="C45" s="9" t="s">
        <v>297</v>
      </c>
      <c r="D45" s="9" t="s">
        <v>333</v>
      </c>
      <c r="E45" s="9" t="s">
        <v>392</v>
      </c>
      <c r="F45" s="38">
        <v>8350</v>
      </c>
      <c r="G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5">
      <c r="A46" s="34" t="s">
        <v>377</v>
      </c>
      <c r="B46" s="35">
        <v>43165</v>
      </c>
      <c r="C46" s="9" t="s">
        <v>297</v>
      </c>
      <c r="D46" s="9" t="s">
        <v>393</v>
      </c>
      <c r="E46" s="9" t="s">
        <v>394</v>
      </c>
      <c r="F46" s="38">
        <v>8350</v>
      </c>
      <c r="G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5">
      <c r="A47" s="34" t="s">
        <v>395</v>
      </c>
      <c r="B47" s="35">
        <v>43167</v>
      </c>
      <c r="C47" s="9" t="s">
        <v>297</v>
      </c>
      <c r="D47" s="9" t="s">
        <v>1</v>
      </c>
      <c r="E47" s="9" t="s">
        <v>396</v>
      </c>
      <c r="F47" s="38">
        <v>3000</v>
      </c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5">
      <c r="A48" s="34" t="s">
        <v>395</v>
      </c>
      <c r="B48" s="35">
        <v>43167</v>
      </c>
      <c r="C48" s="9" t="s">
        <v>297</v>
      </c>
      <c r="D48" s="9" t="s">
        <v>1</v>
      </c>
      <c r="E48" s="9" t="s">
        <v>397</v>
      </c>
      <c r="F48" s="38">
        <v>50000</v>
      </c>
      <c r="G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5">
      <c r="A49" s="34" t="s">
        <v>395</v>
      </c>
      <c r="B49" s="35">
        <v>43167</v>
      </c>
      <c r="C49" s="9" t="s">
        <v>297</v>
      </c>
      <c r="D49" s="9" t="s">
        <v>1</v>
      </c>
      <c r="E49" s="9" t="s">
        <v>398</v>
      </c>
      <c r="F49" s="38">
        <v>422650</v>
      </c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5">
      <c r="A50" s="34" t="s">
        <v>395</v>
      </c>
      <c r="B50" s="35">
        <v>43167</v>
      </c>
      <c r="C50" s="9" t="s">
        <v>297</v>
      </c>
      <c r="D50" s="9" t="s">
        <v>1</v>
      </c>
      <c r="E50" s="9" t="s">
        <v>399</v>
      </c>
      <c r="F50" s="38">
        <v>1189963.54</v>
      </c>
      <c r="G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5">
      <c r="A51" s="34" t="s">
        <v>395</v>
      </c>
      <c r="B51" s="35">
        <v>43167</v>
      </c>
      <c r="C51" s="9" t="s">
        <v>297</v>
      </c>
      <c r="D51" s="9" t="s">
        <v>1</v>
      </c>
      <c r="E51" s="9" t="s">
        <v>400</v>
      </c>
      <c r="F51" s="38">
        <v>30455.09</v>
      </c>
      <c r="G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5">
      <c r="A52" s="34" t="s">
        <v>395</v>
      </c>
      <c r="B52" s="35">
        <v>43167</v>
      </c>
      <c r="C52" s="9" t="s">
        <v>297</v>
      </c>
      <c r="D52" s="9" t="s">
        <v>1</v>
      </c>
      <c r="E52" s="9" t="s">
        <v>401</v>
      </c>
      <c r="F52" s="38">
        <v>14520</v>
      </c>
      <c r="G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5">
      <c r="A53" s="34" t="s">
        <v>395</v>
      </c>
      <c r="B53" s="35">
        <v>43167</v>
      </c>
      <c r="C53" s="9" t="s">
        <v>297</v>
      </c>
      <c r="D53" s="9" t="s">
        <v>1</v>
      </c>
      <c r="E53" s="9" t="s">
        <v>402</v>
      </c>
      <c r="F53" s="38">
        <v>26000</v>
      </c>
      <c r="G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5">
      <c r="A54" s="34" t="s">
        <v>395</v>
      </c>
      <c r="B54" s="35">
        <v>43167</v>
      </c>
      <c r="C54" s="9" t="s">
        <v>297</v>
      </c>
      <c r="D54" s="9" t="s">
        <v>1</v>
      </c>
      <c r="E54" s="9" t="s">
        <v>403</v>
      </c>
      <c r="F54" s="38">
        <v>27600</v>
      </c>
      <c r="G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5">
      <c r="A55" s="34" t="s">
        <v>395</v>
      </c>
      <c r="B55" s="35">
        <v>43167</v>
      </c>
      <c r="C55" s="9" t="s">
        <v>297</v>
      </c>
      <c r="D55" s="9" t="s">
        <v>1</v>
      </c>
      <c r="E55" s="9" t="s">
        <v>404</v>
      </c>
      <c r="F55" s="38">
        <v>22893.600000000002</v>
      </c>
      <c r="G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5">
      <c r="A56" s="34" t="s">
        <v>395</v>
      </c>
      <c r="B56" s="35">
        <v>43167</v>
      </c>
      <c r="C56" s="9" t="s">
        <v>297</v>
      </c>
      <c r="D56" s="9" t="s">
        <v>1</v>
      </c>
      <c r="E56" s="9" t="s">
        <v>405</v>
      </c>
      <c r="F56" s="38">
        <v>68800</v>
      </c>
      <c r="G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5">
      <c r="A57" s="34" t="s">
        <v>395</v>
      </c>
      <c r="B57" s="35">
        <v>43167</v>
      </c>
      <c r="C57" s="9" t="s">
        <v>297</v>
      </c>
      <c r="D57" s="9" t="s">
        <v>1</v>
      </c>
      <c r="E57" s="9" t="s">
        <v>406</v>
      </c>
      <c r="F57" s="38">
        <v>57046.39</v>
      </c>
      <c r="G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5">
      <c r="A58" s="34" t="s">
        <v>395</v>
      </c>
      <c r="B58" s="35">
        <v>43167</v>
      </c>
      <c r="C58" s="9" t="s">
        <v>297</v>
      </c>
      <c r="D58" s="9" t="s">
        <v>1</v>
      </c>
      <c r="E58" s="9" t="s">
        <v>407</v>
      </c>
      <c r="F58" s="38">
        <v>9509.48</v>
      </c>
      <c r="G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5">
      <c r="A59" s="34" t="s">
        <v>395</v>
      </c>
      <c r="B59" s="35">
        <v>43167</v>
      </c>
      <c r="C59" s="9" t="s">
        <v>297</v>
      </c>
      <c r="D59" s="9" t="s">
        <v>1</v>
      </c>
      <c r="E59" s="9" t="s">
        <v>408</v>
      </c>
      <c r="F59" s="38">
        <v>3110</v>
      </c>
      <c r="G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5">
      <c r="A60" s="34" t="s">
        <v>395</v>
      </c>
      <c r="B60" s="35">
        <v>43167</v>
      </c>
      <c r="C60" s="9" t="s">
        <v>297</v>
      </c>
      <c r="D60" s="9" t="s">
        <v>1</v>
      </c>
      <c r="E60" s="9" t="s">
        <v>409</v>
      </c>
      <c r="F60" s="38">
        <v>13665</v>
      </c>
      <c r="G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5">
      <c r="A61" s="34" t="s">
        <v>395</v>
      </c>
      <c r="B61" s="35">
        <v>43167</v>
      </c>
      <c r="C61" s="9" t="s">
        <v>297</v>
      </c>
      <c r="D61" s="9" t="s">
        <v>1</v>
      </c>
      <c r="E61" s="9" t="s">
        <v>410</v>
      </c>
      <c r="F61" s="38">
        <v>20100</v>
      </c>
      <c r="G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5">
      <c r="A62" s="34" t="s">
        <v>411</v>
      </c>
      <c r="B62" s="35">
        <v>43168</v>
      </c>
      <c r="C62" s="9" t="s">
        <v>297</v>
      </c>
      <c r="D62" s="9" t="s">
        <v>412</v>
      </c>
      <c r="E62" s="9" t="s">
        <v>413</v>
      </c>
      <c r="F62" s="38">
        <v>200000</v>
      </c>
      <c r="G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5">
      <c r="A63" s="34" t="s">
        <v>411</v>
      </c>
      <c r="B63" s="35">
        <v>43168</v>
      </c>
      <c r="C63" s="9" t="s">
        <v>297</v>
      </c>
      <c r="D63" s="9" t="s">
        <v>414</v>
      </c>
      <c r="E63" s="9" t="s">
        <v>415</v>
      </c>
      <c r="F63" s="38">
        <v>55000</v>
      </c>
      <c r="G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5">
      <c r="A64" s="34" t="s">
        <v>411</v>
      </c>
      <c r="B64" s="35">
        <v>43168</v>
      </c>
      <c r="C64" s="9" t="s">
        <v>297</v>
      </c>
      <c r="D64" s="9" t="s">
        <v>368</v>
      </c>
      <c r="E64" s="9" t="s">
        <v>416</v>
      </c>
      <c r="F64" s="38">
        <v>793378.6</v>
      </c>
      <c r="G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5">
      <c r="A65" s="34" t="s">
        <v>411</v>
      </c>
      <c r="B65" s="35">
        <v>43168</v>
      </c>
      <c r="C65" s="9" t="s">
        <v>297</v>
      </c>
      <c r="D65" s="9" t="s">
        <v>417</v>
      </c>
      <c r="E65" s="9" t="s">
        <v>418</v>
      </c>
      <c r="F65" s="38">
        <v>265350</v>
      </c>
      <c r="G65" s="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5">
      <c r="A66" s="34" t="s">
        <v>411</v>
      </c>
      <c r="B66" s="35">
        <v>43168</v>
      </c>
      <c r="C66" s="9" t="s">
        <v>297</v>
      </c>
      <c r="D66" s="9" t="s">
        <v>419</v>
      </c>
      <c r="E66" s="9" t="s">
        <v>420</v>
      </c>
      <c r="F66" s="38">
        <v>35497.1</v>
      </c>
      <c r="G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5">
      <c r="A67" s="34" t="s">
        <v>411</v>
      </c>
      <c r="B67" s="35">
        <v>43168</v>
      </c>
      <c r="C67" s="9" t="s">
        <v>297</v>
      </c>
      <c r="D67" s="9" t="s">
        <v>421</v>
      </c>
      <c r="E67" s="9" t="s">
        <v>422</v>
      </c>
      <c r="F67" s="38">
        <v>36050</v>
      </c>
      <c r="G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5">
      <c r="A68" s="34" t="s">
        <v>423</v>
      </c>
      <c r="B68" s="35">
        <v>43173</v>
      </c>
      <c r="C68" s="9" t="s">
        <v>297</v>
      </c>
      <c r="D68" s="9" t="s">
        <v>424</v>
      </c>
      <c r="E68" s="9" t="s">
        <v>425</v>
      </c>
      <c r="F68" s="38">
        <v>1367524</v>
      </c>
      <c r="G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5">
      <c r="A69" s="34" t="s">
        <v>423</v>
      </c>
      <c r="B69" s="35">
        <v>43173</v>
      </c>
      <c r="C69" s="9" t="s">
        <v>297</v>
      </c>
      <c r="D69" s="9" t="s">
        <v>424</v>
      </c>
      <c r="E69" s="9" t="s">
        <v>426</v>
      </c>
      <c r="F69" s="38">
        <v>13768098</v>
      </c>
      <c r="G69" s="7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5">
      <c r="A70" s="34" t="s">
        <v>423</v>
      </c>
      <c r="B70" s="35">
        <v>43173</v>
      </c>
      <c r="C70" s="9" t="s">
        <v>297</v>
      </c>
      <c r="D70" s="9" t="s">
        <v>424</v>
      </c>
      <c r="E70" s="9" t="s">
        <v>427</v>
      </c>
      <c r="F70" s="38">
        <v>25299298</v>
      </c>
      <c r="G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5">
      <c r="A71" s="34" t="s">
        <v>423</v>
      </c>
      <c r="B71" s="35">
        <v>43173</v>
      </c>
      <c r="C71" s="9" t="s">
        <v>297</v>
      </c>
      <c r="D71" s="9" t="s">
        <v>424</v>
      </c>
      <c r="E71" s="9" t="s">
        <v>428</v>
      </c>
      <c r="F71" s="38">
        <v>4102589</v>
      </c>
      <c r="G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5">
      <c r="A72" s="34" t="s">
        <v>423</v>
      </c>
      <c r="B72" s="35">
        <v>43173</v>
      </c>
      <c r="C72" s="9" t="s">
        <v>297</v>
      </c>
      <c r="D72" s="9" t="s">
        <v>424</v>
      </c>
      <c r="E72" s="9" t="s">
        <v>429</v>
      </c>
      <c r="F72" s="38">
        <v>8205177</v>
      </c>
      <c r="G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5">
      <c r="A73" s="34" t="s">
        <v>430</v>
      </c>
      <c r="B73" s="35">
        <v>43175</v>
      </c>
      <c r="C73" s="9" t="s">
        <v>297</v>
      </c>
      <c r="D73" s="9" t="s">
        <v>431</v>
      </c>
      <c r="E73" s="9" t="s">
        <v>432</v>
      </c>
      <c r="F73" s="38">
        <v>1487037.3</v>
      </c>
      <c r="G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5">
      <c r="A74" s="34" t="s">
        <v>430</v>
      </c>
      <c r="B74" s="35">
        <v>43175</v>
      </c>
      <c r="C74" s="9" t="s">
        <v>297</v>
      </c>
      <c r="D74" s="9" t="s">
        <v>372</v>
      </c>
      <c r="E74" s="9" t="s">
        <v>433</v>
      </c>
      <c r="F74" s="38">
        <v>45805</v>
      </c>
      <c r="G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5">
      <c r="A75" s="34" t="s">
        <v>430</v>
      </c>
      <c r="B75" s="35">
        <v>43175</v>
      </c>
      <c r="C75" s="9" t="s">
        <v>297</v>
      </c>
      <c r="D75" s="9" t="s">
        <v>372</v>
      </c>
      <c r="E75" s="9" t="s">
        <v>434</v>
      </c>
      <c r="F75" s="38">
        <v>118960</v>
      </c>
      <c r="G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5">
      <c r="A76" s="34" t="s">
        <v>430</v>
      </c>
      <c r="B76" s="35">
        <v>43175</v>
      </c>
      <c r="C76" s="9" t="s">
        <v>297</v>
      </c>
      <c r="D76" s="9" t="s">
        <v>372</v>
      </c>
      <c r="E76" s="9" t="s">
        <v>435</v>
      </c>
      <c r="F76" s="38">
        <v>80675</v>
      </c>
      <c r="G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5">
      <c r="A77" s="34" t="s">
        <v>430</v>
      </c>
      <c r="B77" s="35">
        <v>43175</v>
      </c>
      <c r="C77" s="9" t="s">
        <v>297</v>
      </c>
      <c r="D77" s="9" t="s">
        <v>372</v>
      </c>
      <c r="E77" s="9" t="s">
        <v>436</v>
      </c>
      <c r="F77" s="38">
        <v>49770</v>
      </c>
      <c r="G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5">
      <c r="A78" s="34" t="s">
        <v>430</v>
      </c>
      <c r="B78" s="35">
        <v>43175</v>
      </c>
      <c r="C78" s="9" t="s">
        <v>297</v>
      </c>
      <c r="D78" s="9" t="s">
        <v>437</v>
      </c>
      <c r="E78" s="9" t="s">
        <v>438</v>
      </c>
      <c r="F78" s="38">
        <v>32353.64</v>
      </c>
      <c r="G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5">
      <c r="A79" s="34" t="s">
        <v>430</v>
      </c>
      <c r="B79" s="35">
        <v>43175</v>
      </c>
      <c r="C79" s="9" t="s">
        <v>297</v>
      </c>
      <c r="D79" s="9" t="s">
        <v>439</v>
      </c>
      <c r="E79" s="9" t="s">
        <v>440</v>
      </c>
      <c r="F79" s="38">
        <v>188056.80000000002</v>
      </c>
      <c r="G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5">
      <c r="A80" s="34" t="s">
        <v>430</v>
      </c>
      <c r="B80" s="35">
        <v>43175</v>
      </c>
      <c r="C80" s="9" t="s">
        <v>297</v>
      </c>
      <c r="D80" s="9" t="s">
        <v>439</v>
      </c>
      <c r="E80" s="9" t="s">
        <v>441</v>
      </c>
      <c r="F80" s="38">
        <v>116544.1</v>
      </c>
      <c r="G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5">
      <c r="A81" s="34" t="s">
        <v>430</v>
      </c>
      <c r="B81" s="35">
        <v>43175</v>
      </c>
      <c r="C81" s="9" t="s">
        <v>297</v>
      </c>
      <c r="D81" s="9" t="s">
        <v>442</v>
      </c>
      <c r="E81" s="9" t="s">
        <v>443</v>
      </c>
      <c r="F81" s="38">
        <v>9434</v>
      </c>
      <c r="G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5">
      <c r="A82" s="34" t="s">
        <v>430</v>
      </c>
      <c r="B82" s="35">
        <v>43175</v>
      </c>
      <c r="C82" s="9" t="s">
        <v>297</v>
      </c>
      <c r="D82" s="9" t="s">
        <v>442</v>
      </c>
      <c r="E82" s="9" t="s">
        <v>444</v>
      </c>
      <c r="F82" s="38">
        <v>4660</v>
      </c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5">
      <c r="A83" s="34" t="s">
        <v>430</v>
      </c>
      <c r="B83" s="35">
        <v>43175</v>
      </c>
      <c r="C83" s="9" t="s">
        <v>297</v>
      </c>
      <c r="D83" s="9" t="s">
        <v>442</v>
      </c>
      <c r="E83" s="9" t="s">
        <v>445</v>
      </c>
      <c r="F83" s="38">
        <v>2499275.38</v>
      </c>
      <c r="G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5">
      <c r="A84" s="34" t="s">
        <v>430</v>
      </c>
      <c r="B84" s="35">
        <v>43175</v>
      </c>
      <c r="C84" s="9" t="s">
        <v>297</v>
      </c>
      <c r="D84" s="9" t="s">
        <v>442</v>
      </c>
      <c r="E84" s="9" t="s">
        <v>446</v>
      </c>
      <c r="F84" s="38">
        <v>5278</v>
      </c>
      <c r="G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5">
      <c r="A85" s="34" t="s">
        <v>430</v>
      </c>
      <c r="B85" s="35">
        <v>43175</v>
      </c>
      <c r="C85" s="9" t="s">
        <v>297</v>
      </c>
      <c r="D85" s="9" t="s">
        <v>442</v>
      </c>
      <c r="E85" s="9" t="s">
        <v>447</v>
      </c>
      <c r="F85" s="38">
        <v>9434</v>
      </c>
      <c r="G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5">
      <c r="A86" s="34" t="s">
        <v>430</v>
      </c>
      <c r="B86" s="35">
        <v>43175</v>
      </c>
      <c r="C86" s="9" t="s">
        <v>297</v>
      </c>
      <c r="D86" s="9" t="s">
        <v>448</v>
      </c>
      <c r="E86" s="9" t="s">
        <v>449</v>
      </c>
      <c r="F86" s="38">
        <v>58450</v>
      </c>
      <c r="G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5">
      <c r="A87" s="34" t="s">
        <v>430</v>
      </c>
      <c r="B87" s="35">
        <v>43175</v>
      </c>
      <c r="C87" s="9" t="s">
        <v>297</v>
      </c>
      <c r="D87" s="9" t="s">
        <v>393</v>
      </c>
      <c r="E87" s="9" t="s">
        <v>450</v>
      </c>
      <c r="F87" s="38">
        <v>31500</v>
      </c>
      <c r="G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5">
      <c r="A88" s="34" t="s">
        <v>430</v>
      </c>
      <c r="B88" s="35">
        <v>43175</v>
      </c>
      <c r="C88" s="9" t="s">
        <v>297</v>
      </c>
      <c r="D88" s="9" t="s">
        <v>451</v>
      </c>
      <c r="E88" s="9" t="s">
        <v>452</v>
      </c>
      <c r="F88" s="38">
        <v>39246.79</v>
      </c>
      <c r="G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5">
      <c r="A89" s="34" t="s">
        <v>430</v>
      </c>
      <c r="B89" s="35">
        <v>43175</v>
      </c>
      <c r="C89" s="9" t="s">
        <v>297</v>
      </c>
      <c r="D89" s="9" t="s">
        <v>453</v>
      </c>
      <c r="E89" s="9" t="s">
        <v>454</v>
      </c>
      <c r="F89" s="38">
        <v>77200</v>
      </c>
      <c r="G89" s="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5">
      <c r="A90" s="34" t="s">
        <v>455</v>
      </c>
      <c r="B90" s="35">
        <v>43175</v>
      </c>
      <c r="C90" s="9" t="s">
        <v>297</v>
      </c>
      <c r="D90" s="9" t="s">
        <v>456</v>
      </c>
      <c r="E90" s="9" t="s">
        <v>457</v>
      </c>
      <c r="F90" s="38">
        <v>552881.7</v>
      </c>
      <c r="G90" s="7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5">
      <c r="A91" s="34" t="s">
        <v>455</v>
      </c>
      <c r="B91" s="35">
        <v>43175</v>
      </c>
      <c r="C91" s="9" t="s">
        <v>297</v>
      </c>
      <c r="D91" s="9" t="s">
        <v>458</v>
      </c>
      <c r="E91" s="9" t="s">
        <v>459</v>
      </c>
      <c r="F91" s="38">
        <v>1234688.6</v>
      </c>
      <c r="G91" s="7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5">
      <c r="A92" s="34" t="s">
        <v>455</v>
      </c>
      <c r="B92" s="35">
        <v>43175</v>
      </c>
      <c r="C92" s="9" t="s">
        <v>297</v>
      </c>
      <c r="D92" s="9" t="s">
        <v>460</v>
      </c>
      <c r="E92" s="9" t="s">
        <v>461</v>
      </c>
      <c r="F92" s="38">
        <v>10905179.92</v>
      </c>
      <c r="G92" s="7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5">
      <c r="A93" s="34" t="s">
        <v>455</v>
      </c>
      <c r="B93" s="35">
        <v>43175</v>
      </c>
      <c r="C93" s="9" t="s">
        <v>297</v>
      </c>
      <c r="D93" s="9" t="s">
        <v>417</v>
      </c>
      <c r="E93" s="9" t="s">
        <v>462</v>
      </c>
      <c r="F93" s="38">
        <v>622930</v>
      </c>
      <c r="G93" s="7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5">
      <c r="A94" s="34" t="s">
        <v>455</v>
      </c>
      <c r="B94" s="35">
        <v>43175</v>
      </c>
      <c r="C94" s="9" t="s">
        <v>297</v>
      </c>
      <c r="D94" s="9" t="s">
        <v>463</v>
      </c>
      <c r="E94" s="9" t="s">
        <v>464</v>
      </c>
      <c r="F94" s="38">
        <v>39247</v>
      </c>
      <c r="G94" s="7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5">
      <c r="A95" s="34" t="s">
        <v>455</v>
      </c>
      <c r="B95" s="35">
        <v>43175</v>
      </c>
      <c r="C95" s="9" t="s">
        <v>297</v>
      </c>
      <c r="D95" s="9" t="s">
        <v>465</v>
      </c>
      <c r="E95" s="9" t="s">
        <v>466</v>
      </c>
      <c r="F95" s="38">
        <v>38550</v>
      </c>
      <c r="G95" s="7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5">
      <c r="A96" s="34" t="s">
        <v>455</v>
      </c>
      <c r="B96" s="35">
        <v>43175</v>
      </c>
      <c r="C96" s="9" t="s">
        <v>297</v>
      </c>
      <c r="D96" s="9" t="s">
        <v>467</v>
      </c>
      <c r="E96" s="9" t="s">
        <v>466</v>
      </c>
      <c r="F96" s="38">
        <v>38550</v>
      </c>
      <c r="G96" s="7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5">
      <c r="A97" s="34" t="s">
        <v>468</v>
      </c>
      <c r="B97" s="35">
        <v>43179</v>
      </c>
      <c r="C97" s="9" t="s">
        <v>297</v>
      </c>
      <c r="D97" s="9" t="s">
        <v>469</v>
      </c>
      <c r="E97" s="9" t="s">
        <v>470</v>
      </c>
      <c r="F97" s="38">
        <v>30380</v>
      </c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5">
      <c r="A98" s="34" t="s">
        <v>468</v>
      </c>
      <c r="B98" s="35">
        <v>43179</v>
      </c>
      <c r="C98" s="9" t="s">
        <v>297</v>
      </c>
      <c r="D98" s="9" t="s">
        <v>471</v>
      </c>
      <c r="E98" s="9" t="s">
        <v>472</v>
      </c>
      <c r="F98" s="38">
        <v>131627.72</v>
      </c>
      <c r="G98" s="7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5">
      <c r="A99" s="34" t="s">
        <v>468</v>
      </c>
      <c r="B99" s="35">
        <v>43179</v>
      </c>
      <c r="C99" s="9" t="s">
        <v>297</v>
      </c>
      <c r="D99" s="9" t="s">
        <v>471</v>
      </c>
      <c r="E99" s="9" t="s">
        <v>473</v>
      </c>
      <c r="F99" s="38">
        <v>36791.5</v>
      </c>
      <c r="G99" s="7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5">
      <c r="A100" s="34" t="s">
        <v>468</v>
      </c>
      <c r="B100" s="35">
        <v>43179</v>
      </c>
      <c r="C100" s="9" t="s">
        <v>297</v>
      </c>
      <c r="D100" s="9" t="s">
        <v>471</v>
      </c>
      <c r="E100" s="9" t="s">
        <v>474</v>
      </c>
      <c r="F100" s="38">
        <v>131627.72</v>
      </c>
      <c r="G100" s="7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5">
      <c r="A101" s="34" t="s">
        <v>468</v>
      </c>
      <c r="B101" s="35">
        <v>43179</v>
      </c>
      <c r="C101" s="9" t="s">
        <v>297</v>
      </c>
      <c r="D101" s="9" t="s">
        <v>471</v>
      </c>
      <c r="E101" s="9" t="s">
        <v>475</v>
      </c>
      <c r="F101" s="38">
        <v>36791.5</v>
      </c>
      <c r="G101" s="7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15">
      <c r="A102" s="34" t="s">
        <v>468</v>
      </c>
      <c r="B102" s="35">
        <v>43179</v>
      </c>
      <c r="C102" s="9" t="s">
        <v>297</v>
      </c>
      <c r="D102" s="9" t="s">
        <v>476</v>
      </c>
      <c r="E102" s="9" t="s">
        <v>477</v>
      </c>
      <c r="F102" s="38">
        <v>172953</v>
      </c>
      <c r="G102" s="7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15">
      <c r="A103" s="34" t="s">
        <v>468</v>
      </c>
      <c r="B103" s="35">
        <v>43179</v>
      </c>
      <c r="C103" s="9" t="s">
        <v>297</v>
      </c>
      <c r="D103" s="9" t="s">
        <v>390</v>
      </c>
      <c r="E103" s="9" t="s">
        <v>478</v>
      </c>
      <c r="F103" s="38">
        <v>13500</v>
      </c>
      <c r="G103" s="7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15">
      <c r="A104" s="34" t="s">
        <v>468</v>
      </c>
      <c r="B104" s="35">
        <v>43179</v>
      </c>
      <c r="C104" s="9" t="s">
        <v>297</v>
      </c>
      <c r="D104" s="9" t="s">
        <v>479</v>
      </c>
      <c r="E104" s="9" t="s">
        <v>480</v>
      </c>
      <c r="F104" s="38">
        <v>8350</v>
      </c>
      <c r="G104" s="7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15">
      <c r="A105" s="34" t="s">
        <v>468</v>
      </c>
      <c r="B105" s="35">
        <v>43179</v>
      </c>
      <c r="C105" s="9" t="s">
        <v>297</v>
      </c>
      <c r="D105" s="9" t="s">
        <v>481</v>
      </c>
      <c r="E105" s="9" t="s">
        <v>482</v>
      </c>
      <c r="F105" s="38">
        <v>8350</v>
      </c>
      <c r="G105" s="7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15">
      <c r="A106" s="34" t="s">
        <v>468</v>
      </c>
      <c r="B106" s="35">
        <v>43179</v>
      </c>
      <c r="C106" s="9" t="s">
        <v>297</v>
      </c>
      <c r="D106" s="9" t="s">
        <v>481</v>
      </c>
      <c r="E106" s="9" t="s">
        <v>483</v>
      </c>
      <c r="F106" s="38">
        <v>5230</v>
      </c>
      <c r="G106" s="7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15">
      <c r="A107" s="34" t="s">
        <v>468</v>
      </c>
      <c r="B107" s="35">
        <v>43179</v>
      </c>
      <c r="C107" s="9" t="s">
        <v>297</v>
      </c>
      <c r="D107" s="9" t="s">
        <v>333</v>
      </c>
      <c r="E107" s="9" t="s">
        <v>484</v>
      </c>
      <c r="F107" s="38">
        <v>19900</v>
      </c>
      <c r="G107" s="7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15">
      <c r="A108" s="34" t="s">
        <v>485</v>
      </c>
      <c r="B108" s="35">
        <v>43181</v>
      </c>
      <c r="C108" s="9" t="s">
        <v>297</v>
      </c>
      <c r="D108" s="9" t="s">
        <v>417</v>
      </c>
      <c r="E108" s="9" t="s">
        <v>486</v>
      </c>
      <c r="F108" s="38">
        <v>196370</v>
      </c>
      <c r="G108" s="7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15">
      <c r="A109" s="34" t="s">
        <v>485</v>
      </c>
      <c r="B109" s="35">
        <v>43181</v>
      </c>
      <c r="C109" s="9" t="s">
        <v>297</v>
      </c>
      <c r="D109" s="9" t="s">
        <v>372</v>
      </c>
      <c r="E109" s="9" t="s">
        <v>487</v>
      </c>
      <c r="F109" s="38">
        <v>2973696.3000000003</v>
      </c>
      <c r="G109" s="7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15">
      <c r="A110" s="34" t="s">
        <v>485</v>
      </c>
      <c r="B110" s="35">
        <v>43181</v>
      </c>
      <c r="C110" s="9" t="s">
        <v>297</v>
      </c>
      <c r="D110" s="9" t="s">
        <v>372</v>
      </c>
      <c r="E110" s="9" t="s">
        <v>488</v>
      </c>
      <c r="F110" s="38">
        <v>168904</v>
      </c>
      <c r="G110" s="7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15">
      <c r="A111" s="34" t="s">
        <v>485</v>
      </c>
      <c r="B111" s="35">
        <v>43181</v>
      </c>
      <c r="C111" s="9" t="s">
        <v>297</v>
      </c>
      <c r="D111" s="9" t="s">
        <v>372</v>
      </c>
      <c r="E111" s="9" t="s">
        <v>489</v>
      </c>
      <c r="F111" s="38">
        <v>184001.85</v>
      </c>
      <c r="G111" s="7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5">
      <c r="A112" s="34" t="s">
        <v>485</v>
      </c>
      <c r="B112" s="35">
        <v>43181</v>
      </c>
      <c r="C112" s="9" t="s">
        <v>297</v>
      </c>
      <c r="D112" s="9" t="s">
        <v>358</v>
      </c>
      <c r="E112" s="9" t="s">
        <v>490</v>
      </c>
      <c r="F112" s="38">
        <v>50050</v>
      </c>
      <c r="G112" s="7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5">
      <c r="A113" s="34" t="s">
        <v>485</v>
      </c>
      <c r="B113" s="35">
        <v>43181</v>
      </c>
      <c r="C113" s="9" t="s">
        <v>297</v>
      </c>
      <c r="D113" s="9" t="s">
        <v>360</v>
      </c>
      <c r="E113" s="9" t="s">
        <v>491</v>
      </c>
      <c r="F113" s="38">
        <v>64090</v>
      </c>
      <c r="G113" s="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5">
      <c r="A114" s="34" t="s">
        <v>485</v>
      </c>
      <c r="B114" s="35">
        <v>43181</v>
      </c>
      <c r="C114" s="9" t="s">
        <v>297</v>
      </c>
      <c r="D114" s="9" t="s">
        <v>479</v>
      </c>
      <c r="E114" s="9" t="s">
        <v>492</v>
      </c>
      <c r="F114" s="38">
        <v>5150</v>
      </c>
      <c r="G114" s="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5">
      <c r="A115" s="34" t="s">
        <v>485</v>
      </c>
      <c r="B115" s="35">
        <v>43181</v>
      </c>
      <c r="C115" s="9" t="s">
        <v>297</v>
      </c>
      <c r="D115" s="9" t="s">
        <v>493</v>
      </c>
      <c r="E115" s="9" t="s">
        <v>494</v>
      </c>
      <c r="F115" s="38">
        <v>3200</v>
      </c>
      <c r="G115" s="7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5">
      <c r="A116" s="34" t="s">
        <v>485</v>
      </c>
      <c r="B116" s="35">
        <v>43181</v>
      </c>
      <c r="C116" s="9" t="s">
        <v>297</v>
      </c>
      <c r="D116" s="9" t="s">
        <v>495</v>
      </c>
      <c r="E116" s="9" t="s">
        <v>496</v>
      </c>
      <c r="F116" s="38">
        <v>5150</v>
      </c>
      <c r="G116" s="7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15">
      <c r="A117" s="34" t="s">
        <v>485</v>
      </c>
      <c r="B117" s="35">
        <v>43181</v>
      </c>
      <c r="C117" s="9" t="s">
        <v>297</v>
      </c>
      <c r="D117" s="9" t="s">
        <v>421</v>
      </c>
      <c r="E117" s="9" t="s">
        <v>497</v>
      </c>
      <c r="F117" s="38">
        <v>34750</v>
      </c>
      <c r="G117" s="7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15">
      <c r="A118" s="34" t="s">
        <v>485</v>
      </c>
      <c r="B118" s="35">
        <v>43181</v>
      </c>
      <c r="C118" s="9" t="s">
        <v>297</v>
      </c>
      <c r="D118" s="9" t="s">
        <v>498</v>
      </c>
      <c r="E118" s="9" t="s">
        <v>497</v>
      </c>
      <c r="F118" s="38">
        <v>34750</v>
      </c>
      <c r="G118" s="7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15">
      <c r="A119" s="34"/>
      <c r="B119" s="35"/>
      <c r="C119" s="9"/>
      <c r="D119" s="9"/>
      <c r="E119" s="9"/>
      <c r="F119" s="38"/>
      <c r="G119" s="7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15">
      <c r="A120" s="34"/>
      <c r="B120" s="35"/>
      <c r="C120" s="9"/>
      <c r="D120" s="9"/>
      <c r="E120" s="9"/>
      <c r="F120" s="38"/>
      <c r="G120" s="7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15">
      <c r="A121" s="34"/>
      <c r="B121" s="35"/>
      <c r="C121" s="9"/>
      <c r="D121" s="9"/>
      <c r="E121" s="9"/>
      <c r="F121" s="38"/>
      <c r="G121" s="7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15">
      <c r="A122" s="34"/>
      <c r="B122" s="35"/>
      <c r="C122" s="9"/>
      <c r="D122" s="9"/>
      <c r="E122" s="9"/>
      <c r="F122" s="38"/>
      <c r="G122" s="7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15">
      <c r="A123" s="34"/>
      <c r="B123" s="35"/>
      <c r="C123" s="9"/>
      <c r="D123" s="9"/>
      <c r="E123" s="9"/>
      <c r="F123" s="38"/>
      <c r="G123" s="7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15">
      <c r="A124" s="34"/>
      <c r="B124" s="35"/>
      <c r="C124" s="9"/>
      <c r="D124" s="9"/>
      <c r="E124" s="9"/>
      <c r="F124" s="38"/>
      <c r="G124" s="7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15">
      <c r="A125" s="34"/>
      <c r="B125" s="35"/>
      <c r="C125" s="9"/>
      <c r="D125" s="9"/>
      <c r="E125" s="9"/>
      <c r="F125" s="38"/>
      <c r="G125" s="7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15">
      <c r="A126" s="34"/>
      <c r="B126" s="35"/>
      <c r="C126" s="9"/>
      <c r="D126" s="9"/>
      <c r="E126" s="9"/>
      <c r="F126" s="38"/>
      <c r="G126" s="7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15">
      <c r="A127" s="34"/>
      <c r="B127" s="35"/>
      <c r="C127" s="9"/>
      <c r="D127" s="9"/>
      <c r="E127" s="9"/>
      <c r="F127" s="38"/>
      <c r="G127" s="7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15">
      <c r="A128" s="34"/>
      <c r="B128" s="35"/>
      <c r="C128" s="9"/>
      <c r="D128" s="9"/>
      <c r="E128" s="9"/>
      <c r="F128" s="38"/>
      <c r="G128" s="7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15">
      <c r="A129" s="34"/>
      <c r="B129" s="33"/>
      <c r="C129" s="9"/>
      <c r="D129" s="9"/>
      <c r="E129" s="9"/>
      <c r="F129" s="7"/>
      <c r="G129" s="7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5">
      <c r="A130" s="34"/>
      <c r="B130" s="33"/>
      <c r="C130" s="9"/>
      <c r="D130" s="9"/>
      <c r="E130" s="9"/>
      <c r="F130" s="7"/>
      <c r="G130" s="7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15">
      <c r="A131" s="34"/>
      <c r="B131" s="33"/>
      <c r="C131" s="9"/>
      <c r="D131" s="9"/>
      <c r="E131" s="9"/>
      <c r="F131" s="7"/>
      <c r="G131" s="7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15">
      <c r="A132" s="34"/>
      <c r="B132" s="35"/>
      <c r="C132" s="9"/>
      <c r="D132" s="9"/>
      <c r="E132" s="9"/>
      <c r="F132" s="38"/>
      <c r="G132" s="7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15">
      <c r="A133" s="34"/>
      <c r="B133" s="35"/>
      <c r="C133" s="9"/>
      <c r="D133" s="9"/>
      <c r="E133" s="9"/>
      <c r="F133" s="38"/>
      <c r="G133" s="7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15">
      <c r="A134" s="34"/>
      <c r="B134" s="35"/>
      <c r="C134" s="9"/>
      <c r="D134" s="9"/>
      <c r="E134" s="9"/>
      <c r="F134" s="38"/>
      <c r="G134" s="7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15">
      <c r="A135" s="34"/>
      <c r="B135" s="35"/>
      <c r="C135" s="9"/>
      <c r="D135" s="9"/>
      <c r="E135" s="9"/>
      <c r="F135" s="38"/>
      <c r="G135" s="7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15">
      <c r="A136" s="34"/>
      <c r="B136" s="35"/>
      <c r="C136" s="9"/>
      <c r="D136" s="9"/>
      <c r="E136" s="9"/>
      <c r="F136" s="38"/>
      <c r="G136" s="7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15">
      <c r="A137" s="34"/>
      <c r="B137" s="35"/>
      <c r="C137" s="9"/>
      <c r="D137" s="9"/>
      <c r="E137" s="9"/>
      <c r="F137" s="38"/>
      <c r="G137" s="7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15">
      <c r="A138" s="34"/>
      <c r="B138" s="35"/>
      <c r="C138" s="9"/>
      <c r="D138" s="9"/>
      <c r="E138" s="9"/>
      <c r="F138" s="38"/>
      <c r="G138" s="7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15">
      <c r="A139" s="34"/>
      <c r="B139" s="35"/>
      <c r="C139" s="9"/>
      <c r="D139" s="9"/>
      <c r="E139" s="9"/>
      <c r="F139" s="38"/>
      <c r="G139" s="7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15">
      <c r="A140" s="34"/>
      <c r="B140" s="35"/>
      <c r="C140" s="9"/>
      <c r="D140" s="9"/>
      <c r="E140" s="9"/>
      <c r="F140" s="38"/>
      <c r="G140" s="7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15">
      <c r="A141" s="34"/>
      <c r="B141" s="35"/>
      <c r="C141" s="9"/>
      <c r="D141" s="9"/>
      <c r="E141" s="9"/>
      <c r="F141" s="38"/>
      <c r="G141" s="7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15">
      <c r="A142" s="34"/>
      <c r="B142" s="35"/>
      <c r="C142" s="9"/>
      <c r="D142" s="9"/>
      <c r="E142" s="9"/>
      <c r="F142" s="38"/>
      <c r="G142" s="7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15">
      <c r="A143" s="34"/>
      <c r="B143" s="35"/>
      <c r="C143" s="9"/>
      <c r="D143" s="9"/>
      <c r="E143" s="9"/>
      <c r="F143" s="38"/>
      <c r="G143" s="7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15">
      <c r="A144" s="34"/>
      <c r="B144" s="35"/>
      <c r="C144" s="9"/>
      <c r="D144" s="9"/>
      <c r="E144" s="9"/>
      <c r="F144" s="38"/>
      <c r="G144" s="7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15">
      <c r="A145" s="34"/>
      <c r="B145" s="35"/>
      <c r="C145" s="9"/>
      <c r="D145" s="9"/>
      <c r="E145" s="9"/>
      <c r="F145" s="38"/>
      <c r="G145" s="7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15">
      <c r="A146" s="34"/>
      <c r="B146" s="35"/>
      <c r="C146" s="9"/>
      <c r="D146" s="9"/>
      <c r="E146" s="9"/>
      <c r="F146" s="38"/>
      <c r="G146" s="7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15">
      <c r="A147" s="34"/>
      <c r="B147" s="35"/>
      <c r="C147" s="9"/>
      <c r="D147" s="9"/>
      <c r="E147" s="9"/>
      <c r="F147" s="38"/>
      <c r="G147" s="7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15">
      <c r="A148" s="34"/>
      <c r="B148" s="35"/>
      <c r="C148" s="9"/>
      <c r="D148" s="9"/>
      <c r="E148" s="9"/>
      <c r="F148" s="38"/>
      <c r="G148" s="7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15">
      <c r="A149" s="34"/>
      <c r="B149" s="35"/>
      <c r="C149" s="9"/>
      <c r="D149" s="9"/>
      <c r="E149" s="9"/>
      <c r="F149" s="38"/>
      <c r="G149" s="7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15">
      <c r="A150" s="34"/>
      <c r="B150" s="35"/>
      <c r="C150" s="9"/>
      <c r="D150" s="9"/>
      <c r="E150" s="9"/>
      <c r="F150" s="38"/>
      <c r="G150" s="7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15">
      <c r="A151" s="34"/>
      <c r="B151" s="35"/>
      <c r="C151" s="9"/>
      <c r="D151" s="9"/>
      <c r="E151" s="9"/>
      <c r="F151" s="38"/>
      <c r="G151" s="7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15">
      <c r="A152" s="34"/>
      <c r="B152" s="35"/>
      <c r="C152" s="9"/>
      <c r="D152" s="9"/>
      <c r="E152" s="9"/>
      <c r="F152" s="38"/>
      <c r="G152" s="7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15">
      <c r="A153" s="34"/>
      <c r="B153" s="35"/>
      <c r="C153" s="9"/>
      <c r="D153" s="9"/>
      <c r="E153" s="9"/>
      <c r="F153" s="38"/>
      <c r="G153" s="7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15">
      <c r="A154" s="34"/>
      <c r="B154" s="35"/>
      <c r="C154" s="9"/>
      <c r="D154" s="9"/>
      <c r="E154" s="9"/>
      <c r="F154" s="38"/>
      <c r="G154" s="7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15">
      <c r="A155" s="34"/>
      <c r="B155" s="35"/>
      <c r="C155" s="9"/>
      <c r="D155" s="9"/>
      <c r="E155" s="9"/>
      <c r="F155" s="38"/>
      <c r="G155" s="7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15">
      <c r="A156" s="34"/>
      <c r="B156" s="35"/>
      <c r="C156" s="9"/>
      <c r="D156" s="9"/>
      <c r="E156" s="9"/>
      <c r="F156" s="38"/>
      <c r="G156" s="7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15">
      <c r="A157" s="34"/>
      <c r="B157" s="35"/>
      <c r="C157" s="9"/>
      <c r="D157" s="9"/>
      <c r="E157" s="9"/>
      <c r="F157" s="38"/>
      <c r="G157" s="7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15">
      <c r="A158" s="34"/>
      <c r="B158" s="35"/>
      <c r="C158" s="9"/>
      <c r="D158" s="9"/>
      <c r="E158" s="9"/>
      <c r="F158" s="38"/>
      <c r="G158" s="7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15">
      <c r="A159" s="34"/>
      <c r="B159" s="35"/>
      <c r="C159" s="9"/>
      <c r="D159" s="9"/>
      <c r="E159" s="9"/>
      <c r="F159" s="38"/>
      <c r="G159" s="7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15">
      <c r="A160" s="34"/>
      <c r="B160" s="9"/>
      <c r="C160" s="9"/>
      <c r="D160" s="9"/>
      <c r="E160" s="9"/>
      <c r="F160" s="9"/>
      <c r="G160" s="7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15">
      <c r="A161" s="34"/>
      <c r="B161" s="9"/>
      <c r="C161" s="9"/>
      <c r="D161" s="9"/>
      <c r="E161" s="9"/>
      <c r="F161" s="9"/>
      <c r="G161" s="7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15">
      <c r="A162" s="34"/>
      <c r="B162" s="35"/>
      <c r="C162" s="9"/>
      <c r="D162" s="9"/>
      <c r="E162" s="37"/>
      <c r="F162" s="38"/>
      <c r="G162" s="7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15">
      <c r="A163" s="34"/>
      <c r="B163" s="35"/>
      <c r="C163" s="9"/>
      <c r="D163" s="9"/>
      <c r="E163" s="37"/>
      <c r="F163" s="38"/>
      <c r="G163" s="7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15">
      <c r="A164" s="34"/>
      <c r="B164" s="35"/>
      <c r="C164" s="9"/>
      <c r="D164" s="9"/>
      <c r="E164" s="37"/>
      <c r="F164" s="38"/>
      <c r="G164" s="7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15">
      <c r="A165" s="34"/>
      <c r="B165" s="35"/>
      <c r="C165" s="9"/>
      <c r="D165" s="9"/>
      <c r="E165" s="37"/>
      <c r="F165" s="38"/>
      <c r="G165" s="7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15">
      <c r="A166" s="34"/>
      <c r="B166" s="35"/>
      <c r="C166" s="9"/>
      <c r="D166" s="9"/>
      <c r="E166" s="37"/>
      <c r="F166" s="38"/>
      <c r="G166" s="7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15">
      <c r="A167" s="34"/>
      <c r="B167" s="35"/>
      <c r="C167" s="9"/>
      <c r="D167" s="9"/>
      <c r="E167" s="37"/>
      <c r="F167" s="38"/>
      <c r="G167" s="7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15">
      <c r="A168" s="34"/>
      <c r="B168" s="35"/>
      <c r="C168" s="9"/>
      <c r="D168" s="9"/>
      <c r="E168" s="37"/>
      <c r="F168" s="38"/>
      <c r="G168" s="7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15">
      <c r="A169" s="34"/>
      <c r="B169" s="35"/>
      <c r="C169" s="9"/>
      <c r="D169" s="9"/>
      <c r="E169" s="37"/>
      <c r="F169" s="38"/>
      <c r="G169" s="7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15">
      <c r="A170" s="34"/>
      <c r="B170" s="35"/>
      <c r="C170" s="9"/>
      <c r="D170" s="9"/>
      <c r="E170" s="37"/>
      <c r="F170" s="38"/>
      <c r="G170" s="7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15">
      <c r="A171" s="34"/>
      <c r="B171" s="35"/>
      <c r="C171" s="9"/>
      <c r="D171" s="9"/>
      <c r="E171" s="37"/>
      <c r="F171" s="38"/>
      <c r="G171" s="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15">
      <c r="A172" s="34"/>
      <c r="B172" s="35"/>
      <c r="C172" s="9"/>
      <c r="D172" s="9"/>
      <c r="E172" s="37"/>
      <c r="F172" s="38"/>
      <c r="G172" s="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15">
      <c r="A173" s="34"/>
      <c r="B173" s="35"/>
      <c r="C173" s="9"/>
      <c r="D173" s="9"/>
      <c r="E173" s="37"/>
      <c r="F173" s="38"/>
      <c r="G173" s="7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15">
      <c r="A174" s="34"/>
      <c r="B174" s="35"/>
      <c r="C174" s="9"/>
      <c r="D174" s="9"/>
      <c r="E174" s="37"/>
      <c r="F174" s="38"/>
      <c r="G174" s="7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15">
      <c r="A175" s="34"/>
      <c r="B175" s="35"/>
      <c r="C175" s="9"/>
      <c r="D175" s="9"/>
      <c r="E175" s="37"/>
      <c r="F175" s="38"/>
      <c r="G175" s="7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15">
      <c r="A176" s="34"/>
      <c r="B176" s="35"/>
      <c r="C176" s="9"/>
      <c r="D176" s="9"/>
      <c r="E176" s="37"/>
      <c r="F176" s="38"/>
      <c r="G176" s="7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15">
      <c r="A177" s="34"/>
      <c r="B177" s="35"/>
      <c r="C177" s="9"/>
      <c r="D177" s="9"/>
      <c r="E177" s="37"/>
      <c r="F177" s="38"/>
      <c r="G177" s="7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15">
      <c r="A178" s="34"/>
      <c r="B178" s="35"/>
      <c r="C178" s="9"/>
      <c r="D178" s="9"/>
      <c r="E178" s="37"/>
      <c r="F178" s="38"/>
      <c r="G178" s="7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15">
      <c r="A179" s="34"/>
      <c r="B179" s="35"/>
      <c r="C179" s="9"/>
      <c r="D179" s="9"/>
      <c r="E179" s="37"/>
      <c r="F179" s="38"/>
      <c r="G179" s="7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15">
      <c r="A180" s="34"/>
      <c r="B180" s="35"/>
      <c r="C180" s="9"/>
      <c r="D180" s="9"/>
      <c r="E180" s="37"/>
      <c r="F180" s="38"/>
      <c r="G180" s="7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15">
      <c r="A181" s="34"/>
      <c r="B181" s="35"/>
      <c r="C181" s="9"/>
      <c r="D181" s="9"/>
      <c r="E181" s="37"/>
      <c r="F181" s="38"/>
      <c r="G181" s="7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15">
      <c r="A182" s="34"/>
      <c r="B182" s="35"/>
      <c r="C182" s="9"/>
      <c r="D182" s="9"/>
      <c r="E182" s="37"/>
      <c r="F182" s="38"/>
      <c r="G182" s="7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15">
      <c r="A183" s="34"/>
      <c r="B183" s="35"/>
      <c r="C183" s="9"/>
      <c r="D183" s="9"/>
      <c r="E183" s="37"/>
      <c r="F183" s="38"/>
      <c r="G183" s="7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15">
      <c r="A184" s="34"/>
      <c r="B184" s="35"/>
      <c r="C184" s="9"/>
      <c r="D184" s="9"/>
      <c r="E184" s="37"/>
      <c r="F184" s="38"/>
      <c r="G184" s="7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15">
      <c r="A185" s="34"/>
      <c r="B185" s="35"/>
      <c r="C185" s="9"/>
      <c r="D185" s="9"/>
      <c r="E185" s="37"/>
      <c r="F185" s="38"/>
      <c r="G185" s="7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15">
      <c r="A186" s="34"/>
      <c r="B186" s="35"/>
      <c r="C186" s="9"/>
      <c r="D186" s="9"/>
      <c r="E186" s="37"/>
      <c r="F186" s="38"/>
      <c r="G186" s="7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15">
      <c r="A187" s="34"/>
      <c r="B187" s="35"/>
      <c r="C187" s="9"/>
      <c r="D187" s="9"/>
      <c r="E187" s="37"/>
      <c r="F187" s="38"/>
      <c r="G187" s="7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15">
      <c r="A188" s="34"/>
      <c r="B188" s="35"/>
      <c r="C188" s="9"/>
      <c r="D188" s="9"/>
      <c r="E188" s="37"/>
      <c r="F188" s="38"/>
      <c r="G188" s="7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15">
      <c r="A189" s="34"/>
      <c r="B189" s="35"/>
      <c r="C189" s="9"/>
      <c r="D189" s="9"/>
      <c r="E189" s="37"/>
      <c r="F189" s="38"/>
      <c r="G189" s="7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15">
      <c r="A190" s="34"/>
      <c r="B190" s="35"/>
      <c r="C190" s="9"/>
      <c r="D190" s="9"/>
      <c r="E190" s="37"/>
      <c r="F190" s="38"/>
      <c r="G190" s="7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15">
      <c r="A191" s="34"/>
      <c r="B191" s="35"/>
      <c r="C191" s="9"/>
      <c r="D191" s="9"/>
      <c r="E191" s="37"/>
      <c r="F191" s="38"/>
      <c r="G191" s="7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15">
      <c r="A192" s="34"/>
      <c r="B192" s="35"/>
      <c r="C192" s="9"/>
      <c r="D192" s="9"/>
      <c r="E192" s="37"/>
      <c r="F192" s="38"/>
      <c r="G192" s="7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15">
      <c r="A193" s="34"/>
      <c r="B193" s="35"/>
      <c r="C193" s="9"/>
      <c r="D193" s="9"/>
      <c r="E193" s="37"/>
      <c r="F193" s="38"/>
      <c r="G193" s="7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15">
      <c r="A194" s="34"/>
      <c r="B194" s="35"/>
      <c r="C194" s="9"/>
      <c r="D194" s="9"/>
      <c r="E194" s="37"/>
      <c r="F194" s="38"/>
      <c r="G194" s="7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15">
      <c r="A195" s="34"/>
      <c r="B195" s="35"/>
      <c r="C195" s="9"/>
      <c r="D195" s="9"/>
      <c r="E195" s="37"/>
      <c r="F195" s="38"/>
      <c r="G195" s="7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15">
      <c r="A196" s="34"/>
      <c r="B196" s="35"/>
      <c r="C196" s="9"/>
      <c r="D196" s="9"/>
      <c r="E196" s="37"/>
      <c r="F196" s="38"/>
      <c r="G196" s="7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15">
      <c r="A197" s="34"/>
      <c r="B197" s="35"/>
      <c r="C197" s="9"/>
      <c r="D197" s="9"/>
      <c r="E197" s="37"/>
      <c r="F197" s="38"/>
      <c r="G197" s="7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15">
      <c r="A198" s="34"/>
      <c r="B198" s="35"/>
      <c r="C198" s="9"/>
      <c r="D198" s="9"/>
      <c r="E198" s="37"/>
      <c r="F198" s="38"/>
      <c r="G198" s="7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15">
      <c r="A199" s="34"/>
      <c r="B199" s="35"/>
      <c r="C199" s="9"/>
      <c r="D199" s="9"/>
      <c r="E199" s="37"/>
      <c r="F199" s="38"/>
      <c r="G199" s="7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15">
      <c r="A200" s="34"/>
      <c r="B200" s="35"/>
      <c r="C200" s="9"/>
      <c r="D200" s="9"/>
      <c r="E200" s="37"/>
      <c r="F200" s="38"/>
      <c r="G200" s="7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15">
      <c r="A201" s="34"/>
      <c r="B201" s="35"/>
      <c r="C201" s="9"/>
      <c r="D201" s="9"/>
      <c r="E201" s="37"/>
      <c r="F201" s="38"/>
      <c r="G201" s="7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6" ht="15">
      <c r="A202" s="34"/>
      <c r="B202" s="35"/>
      <c r="C202" s="9"/>
      <c r="D202" s="9"/>
      <c r="E202" s="37"/>
      <c r="F202" s="38"/>
    </row>
    <row r="203" spans="1:6" ht="15">
      <c r="A203" s="34"/>
      <c r="B203" s="35"/>
      <c r="C203" s="9"/>
      <c r="D203" s="9"/>
      <c r="E203" s="37"/>
      <c r="F203" s="38"/>
    </row>
    <row r="204" spans="1:6" ht="15">
      <c r="A204" s="34"/>
      <c r="B204" s="35"/>
      <c r="C204" s="9"/>
      <c r="D204" s="9"/>
      <c r="E204" s="37"/>
      <c r="F204" s="38"/>
    </row>
    <row r="205" spans="1:6" ht="15">
      <c r="A205" s="34"/>
      <c r="B205" s="35"/>
      <c r="C205" s="9"/>
      <c r="D205" s="9"/>
      <c r="E205" s="37"/>
      <c r="F205" s="38"/>
    </row>
    <row r="206" spans="1:6" ht="15">
      <c r="A206" s="34"/>
      <c r="B206" s="35"/>
      <c r="C206" s="9"/>
      <c r="D206" s="9"/>
      <c r="E206" s="37"/>
      <c r="F206" s="38"/>
    </row>
    <row r="207" spans="1:6" ht="15">
      <c r="A207" s="34"/>
      <c r="B207" s="35"/>
      <c r="C207" s="9"/>
      <c r="D207" s="9"/>
      <c r="E207" s="37"/>
      <c r="F207" s="38"/>
    </row>
    <row r="208" spans="1:6" ht="15">
      <c r="A208" s="34"/>
      <c r="B208" s="35"/>
      <c r="C208" s="9"/>
      <c r="D208" s="9"/>
      <c r="E208" s="37"/>
      <c r="F208" s="38"/>
    </row>
    <row r="209" spans="1:6" ht="15">
      <c r="A209" s="34"/>
      <c r="B209" s="35"/>
      <c r="C209" s="9"/>
      <c r="D209" s="9"/>
      <c r="E209" s="37"/>
      <c r="F209" s="38"/>
    </row>
    <row r="210" spans="1:6" ht="15">
      <c r="A210" s="34"/>
      <c r="B210" s="35"/>
      <c r="C210" s="9"/>
      <c r="D210" s="9"/>
      <c r="E210" s="37"/>
      <c r="F210" s="38"/>
    </row>
    <row r="211" spans="1:6" ht="15">
      <c r="A211" s="34"/>
      <c r="B211" s="35"/>
      <c r="C211" s="9"/>
      <c r="D211" s="9"/>
      <c r="E211" s="37"/>
      <c r="F211" s="38"/>
    </row>
    <row r="212" spans="1:6" ht="15">
      <c r="A212" s="34"/>
      <c r="B212" s="35"/>
      <c r="C212" s="9"/>
      <c r="D212" s="9"/>
      <c r="E212" s="37"/>
      <c r="F212" s="38"/>
    </row>
    <row r="213" spans="1:6" ht="15">
      <c r="A213" s="34"/>
      <c r="B213" s="35"/>
      <c r="C213" s="9"/>
      <c r="D213" s="9"/>
      <c r="E213" s="37"/>
      <c r="F213" s="38"/>
    </row>
    <row r="214" spans="1:6" ht="15">
      <c r="A214" s="34"/>
      <c r="B214" s="35"/>
      <c r="C214" s="9"/>
      <c r="D214" s="9"/>
      <c r="E214" s="37"/>
      <c r="F214" s="38"/>
    </row>
    <row r="215" spans="1:6" ht="15">
      <c r="A215" s="34"/>
      <c r="B215" s="35"/>
      <c r="C215" s="9"/>
      <c r="D215" s="9"/>
      <c r="E215" s="37"/>
      <c r="F215" s="38"/>
    </row>
    <row r="216" spans="1:6" ht="15">
      <c r="A216" s="34"/>
      <c r="B216" s="35"/>
      <c r="C216" s="9"/>
      <c r="D216" s="9"/>
      <c r="E216" s="37"/>
      <c r="F216" s="38"/>
    </row>
    <row r="217" spans="1:6" ht="15">
      <c r="A217" s="34"/>
      <c r="B217" s="35"/>
      <c r="C217" s="9"/>
      <c r="D217" s="9"/>
      <c r="E217" s="37"/>
      <c r="F217" s="38"/>
    </row>
    <row r="218" spans="1:6" ht="15">
      <c r="A218" s="34"/>
      <c r="B218" s="35"/>
      <c r="C218" s="9"/>
      <c r="D218" s="9"/>
      <c r="E218" s="37"/>
      <c r="F218" s="38"/>
    </row>
    <row r="219" spans="1:6" ht="15">
      <c r="A219" s="34"/>
      <c r="B219" s="35"/>
      <c r="C219" s="9"/>
      <c r="D219" s="9"/>
      <c r="E219" s="37"/>
      <c r="F219" s="38"/>
    </row>
    <row r="220" spans="1:6" ht="15">
      <c r="A220" s="34"/>
      <c r="B220" s="35"/>
      <c r="C220" s="9"/>
      <c r="D220" s="9"/>
      <c r="E220" s="37"/>
      <c r="F220" s="38"/>
    </row>
    <row r="221" spans="1:6" ht="15">
      <c r="A221" s="34"/>
      <c r="B221" s="35"/>
      <c r="C221" s="9"/>
      <c r="D221" s="9"/>
      <c r="E221" s="37"/>
      <c r="F221" s="38"/>
    </row>
    <row r="222" spans="1:6" ht="15">
      <c r="A222" s="34"/>
      <c r="B222" s="35"/>
      <c r="C222" s="9"/>
      <c r="D222" s="9"/>
      <c r="E222" s="37"/>
      <c r="F222" s="38"/>
    </row>
    <row r="223" spans="1:6" ht="15">
      <c r="A223" s="34"/>
      <c r="B223" s="35"/>
      <c r="C223" s="9"/>
      <c r="D223" s="9"/>
      <c r="E223" s="37"/>
      <c r="F223" s="38"/>
    </row>
    <row r="224" spans="1:6" ht="15">
      <c r="A224" s="34"/>
      <c r="B224" s="35"/>
      <c r="C224" s="9"/>
      <c r="D224" s="9"/>
      <c r="E224" s="37"/>
      <c r="F224" s="38"/>
    </row>
    <row r="225" spans="1:6" ht="15">
      <c r="A225" s="34"/>
      <c r="B225" s="35"/>
      <c r="C225" s="9"/>
      <c r="D225" s="9"/>
      <c r="E225" s="37"/>
      <c r="F225" s="38"/>
    </row>
    <row r="226" spans="1:6" ht="15">
      <c r="A226" s="34"/>
      <c r="B226" s="35"/>
      <c r="C226" s="9"/>
      <c r="D226" s="9"/>
      <c r="E226" s="37"/>
      <c r="F226" s="38"/>
    </row>
    <row r="227" spans="1:6" ht="15">
      <c r="A227" s="34"/>
      <c r="B227" s="35"/>
      <c r="C227" s="9"/>
      <c r="D227" s="9"/>
      <c r="E227" s="37"/>
      <c r="F227" s="38"/>
    </row>
    <row r="228" spans="1:6" ht="15">
      <c r="A228" s="34"/>
      <c r="B228" s="35"/>
      <c r="C228" s="9"/>
      <c r="D228" s="9"/>
      <c r="E228" s="37"/>
      <c r="F228" s="38"/>
    </row>
    <row r="229" spans="1:6" ht="15">
      <c r="A229" s="34"/>
      <c r="B229" s="35"/>
      <c r="C229" s="9"/>
      <c r="D229" s="9"/>
      <c r="E229" s="37"/>
      <c r="F229" s="38"/>
    </row>
    <row r="230" spans="1:6" ht="15">
      <c r="A230" s="34"/>
      <c r="B230" s="35"/>
      <c r="C230" s="9"/>
      <c r="D230" s="9"/>
      <c r="E230" s="37"/>
      <c r="F230" s="38"/>
    </row>
    <row r="231" spans="1:6" ht="15">
      <c r="A231" s="34"/>
      <c r="B231" s="35"/>
      <c r="C231" s="9"/>
      <c r="D231" s="9"/>
      <c r="E231" s="37"/>
      <c r="F231" s="38"/>
    </row>
    <row r="232" spans="1:6" ht="15">
      <c r="A232" s="34"/>
      <c r="B232" s="35"/>
      <c r="C232" s="9"/>
      <c r="D232" s="9"/>
      <c r="E232" s="37"/>
      <c r="F232" s="38"/>
    </row>
    <row r="233" spans="1:6" ht="15">
      <c r="A233" s="34"/>
      <c r="B233" s="35"/>
      <c r="C233" s="9"/>
      <c r="D233" s="9"/>
      <c r="E233" s="37"/>
      <c r="F233" s="38"/>
    </row>
    <row r="234" spans="1:6" ht="15">
      <c r="A234" s="34"/>
      <c r="B234" s="35"/>
      <c r="C234" s="9"/>
      <c r="D234" s="9"/>
      <c r="E234" s="37"/>
      <c r="F234" s="38"/>
    </row>
    <row r="235" spans="1:6" ht="15">
      <c r="A235" s="34"/>
      <c r="B235" s="35"/>
      <c r="C235" s="9"/>
      <c r="D235" s="9"/>
      <c r="E235" s="37"/>
      <c r="F235" s="38"/>
    </row>
    <row r="236" spans="1:6" ht="15">
      <c r="A236" s="34"/>
      <c r="B236" s="35"/>
      <c r="C236" s="9"/>
      <c r="D236" s="9"/>
      <c r="E236" s="37"/>
      <c r="F236" s="38"/>
    </row>
    <row r="237" spans="1:6" ht="15">
      <c r="A237" s="34"/>
      <c r="B237" s="35"/>
      <c r="C237" s="9"/>
      <c r="D237" s="9"/>
      <c r="E237" s="37"/>
      <c r="F237" s="38"/>
    </row>
    <row r="238" spans="1:6" ht="15">
      <c r="A238" s="34"/>
      <c r="B238" s="35"/>
      <c r="C238" s="9"/>
      <c r="D238" s="9"/>
      <c r="E238" s="37"/>
      <c r="F238" s="38"/>
    </row>
    <row r="239" spans="1:6" ht="15">
      <c r="A239" s="34"/>
      <c r="B239" s="35"/>
      <c r="C239" s="9"/>
      <c r="D239" s="9"/>
      <c r="E239" s="37"/>
      <c r="F239" s="38"/>
    </row>
    <row r="240" spans="1:6" ht="15">
      <c r="A240" s="34"/>
      <c r="B240" s="35"/>
      <c r="C240" s="9"/>
      <c r="D240" s="9"/>
      <c r="E240" s="37"/>
      <c r="F240" s="38"/>
    </row>
    <row r="241" spans="1:6" ht="15">
      <c r="A241" s="34"/>
      <c r="B241" s="35"/>
      <c r="C241" s="9"/>
      <c r="D241" s="9"/>
      <c r="E241" s="37"/>
      <c r="F241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2017-08-07T15:19:06Z</cp:lastPrinted>
  <dcterms:created xsi:type="dcterms:W3CDTF">2013-03-07T15:00:21Z</dcterms:created>
  <dcterms:modified xsi:type="dcterms:W3CDTF">2018-04-04T15:15:02Z</dcterms:modified>
  <cp:category/>
  <cp:version/>
  <cp:contentType/>
  <cp:contentStatus/>
</cp:coreProperties>
</file>