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c2\AC\Temp\"/>
    </mc:Choice>
  </mc:AlternateContent>
  <xr:revisionPtr revIDLastSave="0" documentId="8_{261AC5DD-A60D-41CF-A3E7-D45C7CC3C445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EJECUCION PRESUP.AGOSTO-2018" sheetId="1" r:id="rId1"/>
    <sheet name="DETALLE DE EJECUCION POR MES" sheetId="2" r:id="rId2"/>
    <sheet name="GASTOS MES DE AGOSTO" sheetId="3" r:id="rId3"/>
  </sheets>
  <externalReferences>
    <externalReference r:id="rId4"/>
  </externalReferences>
  <definedNames>
    <definedName name="_xlnm.Print_Titles" localSheetId="0">'EJECUCION PRESUP.AGOSTO-2018'!$4:$4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7" i="2" l="1"/>
  <c r="K140" i="2"/>
  <c r="K115" i="2"/>
  <c r="K113" i="2"/>
  <c r="K112" i="2"/>
  <c r="K111" i="2"/>
  <c r="K91" i="2"/>
  <c r="K90" i="2"/>
  <c r="K73" i="2"/>
  <c r="K61" i="2"/>
  <c r="K60" i="2"/>
  <c r="K57" i="2"/>
  <c r="K40" i="2"/>
  <c r="K39" i="2"/>
  <c r="K33" i="2"/>
  <c r="K18" i="2"/>
  <c r="K15" i="2"/>
  <c r="K14" i="2"/>
  <c r="K6" i="2"/>
  <c r="I20" i="1"/>
  <c r="G103" i="1"/>
  <c r="G59" i="1"/>
  <c r="G20" i="1"/>
  <c r="J147" i="2"/>
  <c r="J146" i="2"/>
  <c r="J143" i="2"/>
  <c r="J140" i="2"/>
  <c r="J111" i="2"/>
  <c r="J98" i="2"/>
  <c r="J91" i="2"/>
  <c r="J90" i="2"/>
  <c r="J73" i="2"/>
  <c r="J67" i="2"/>
  <c r="J61" i="2"/>
  <c r="J60" i="2"/>
  <c r="J58" i="2"/>
  <c r="J57" i="2"/>
  <c r="J45" i="2"/>
  <c r="J42" i="2"/>
  <c r="J40" i="2"/>
  <c r="J39" i="2"/>
  <c r="J33" i="2"/>
  <c r="J18" i="2"/>
  <c r="J15" i="2"/>
  <c r="J14" i="2"/>
  <c r="J6" i="2"/>
  <c r="J155" i="2" s="1"/>
  <c r="G105" i="1"/>
  <c r="L93" i="1"/>
  <c r="I147" i="2"/>
  <c r="I109" i="2"/>
  <c r="I73" i="2"/>
  <c r="I68" i="2"/>
  <c r="I67" i="2"/>
  <c r="I61" i="2"/>
  <c r="I60" i="2"/>
  <c r="I57" i="2"/>
  <c r="I42" i="2"/>
  <c r="I40" i="2"/>
  <c r="I39" i="2"/>
  <c r="I33" i="2"/>
  <c r="I27" i="2"/>
  <c r="I18" i="2"/>
  <c r="I15" i="2"/>
  <c r="I14" i="2"/>
  <c r="I6" i="2"/>
  <c r="I155" i="2"/>
  <c r="K93" i="1"/>
  <c r="K59" i="1"/>
  <c r="H140" i="2"/>
  <c r="H125" i="2"/>
  <c r="H113" i="2"/>
  <c r="H111" i="2"/>
  <c r="H109" i="2"/>
  <c r="H103" i="2"/>
  <c r="H98" i="2"/>
  <c r="H75" i="2"/>
  <c r="H73" i="2"/>
  <c r="H71" i="2"/>
  <c r="H67" i="2"/>
  <c r="H62" i="2"/>
  <c r="H61" i="2"/>
  <c r="H60" i="2"/>
  <c r="H58" i="2"/>
  <c r="H57" i="2"/>
  <c r="H48" i="2"/>
  <c r="H43" i="2"/>
  <c r="H42" i="2"/>
  <c r="H41" i="2"/>
  <c r="H40" i="2"/>
  <c r="H33" i="2"/>
  <c r="H18" i="2"/>
  <c r="H15" i="2"/>
  <c r="H14" i="2"/>
  <c r="H6" i="2"/>
  <c r="F43" i="2"/>
  <c r="F42" i="2"/>
  <c r="G42" i="2"/>
  <c r="G40" i="2"/>
  <c r="F40" i="2"/>
  <c r="H59" i="1"/>
  <c r="H20" i="1"/>
  <c r="F147" i="2"/>
  <c r="F143" i="2"/>
  <c r="F73" i="2"/>
  <c r="F61" i="2"/>
  <c r="F60" i="2"/>
  <c r="F57" i="2"/>
  <c r="F45" i="2"/>
  <c r="F39" i="2"/>
  <c r="F33" i="2"/>
  <c r="F18" i="2"/>
  <c r="F15" i="2"/>
  <c r="F14" i="2"/>
  <c r="F10" i="2"/>
  <c r="F6" i="2"/>
  <c r="F155" i="2" s="1"/>
  <c r="G147" i="2"/>
  <c r="G146" i="2"/>
  <c r="G140" i="2"/>
  <c r="G118" i="2"/>
  <c r="G111" i="2"/>
  <c r="G109" i="2"/>
  <c r="G108" i="2"/>
  <c r="G106" i="2"/>
  <c r="G103" i="2"/>
  <c r="G73" i="2"/>
  <c r="G67" i="2"/>
  <c r="G65" i="2"/>
  <c r="G61" i="2"/>
  <c r="G60" i="2"/>
  <c r="G58" i="2"/>
  <c r="G57" i="2"/>
  <c r="G45" i="2"/>
  <c r="G39" i="2"/>
  <c r="G33" i="2"/>
  <c r="G18" i="2"/>
  <c r="G15" i="2"/>
  <c r="G14" i="2"/>
  <c r="G6" i="2"/>
  <c r="G155" i="2" s="1"/>
  <c r="J9" i="1"/>
  <c r="Q9" i="1"/>
  <c r="E147" i="2"/>
  <c r="E140" i="2"/>
  <c r="E113" i="2"/>
  <c r="E67" i="2"/>
  <c r="E65" i="2"/>
  <c r="E61" i="2"/>
  <c r="E60" i="2"/>
  <c r="E57" i="2"/>
  <c r="E43" i="2"/>
  <c r="E42" i="2"/>
  <c r="E41" i="2"/>
  <c r="E40" i="2"/>
  <c r="E39" i="2"/>
  <c r="E33" i="2"/>
  <c r="E27" i="2"/>
  <c r="E26" i="2"/>
  <c r="E25" i="2"/>
  <c r="E24" i="2"/>
  <c r="E22" i="2"/>
  <c r="E20" i="2"/>
  <c r="E18" i="2"/>
  <c r="E15" i="2"/>
  <c r="E14" i="2"/>
  <c r="E10" i="2"/>
  <c r="E6" i="2"/>
  <c r="E83" i="1"/>
  <c r="F83" i="1"/>
  <c r="H83" i="1"/>
  <c r="I83" i="1"/>
  <c r="E93" i="1"/>
  <c r="F93" i="1"/>
  <c r="H93" i="1"/>
  <c r="I93" i="1"/>
  <c r="E103" i="1"/>
  <c r="F103" i="1"/>
  <c r="H103" i="1"/>
  <c r="I103" i="1"/>
  <c r="E20" i="1"/>
  <c r="F20" i="1"/>
  <c r="E59" i="1"/>
  <c r="F59" i="1"/>
  <c r="H105" i="1"/>
  <c r="I59" i="1"/>
  <c r="I105" i="1"/>
  <c r="E105" i="1"/>
  <c r="K103" i="1"/>
  <c r="L103" i="1"/>
  <c r="M103" i="1"/>
  <c r="N103" i="1"/>
  <c r="O103" i="1"/>
  <c r="P103" i="1"/>
  <c r="J88" i="1"/>
  <c r="Q88" i="1"/>
  <c r="M93" i="1"/>
  <c r="N93" i="1"/>
  <c r="O93" i="1"/>
  <c r="P93" i="1"/>
  <c r="K83" i="1"/>
  <c r="L83" i="1"/>
  <c r="M83" i="1"/>
  <c r="O83" i="1"/>
  <c r="P83" i="1"/>
  <c r="L59" i="1"/>
  <c r="M59" i="1"/>
  <c r="O59" i="1"/>
  <c r="P59" i="1"/>
  <c r="K20" i="1"/>
  <c r="L20" i="1"/>
  <c r="M20" i="1"/>
  <c r="N20" i="1"/>
  <c r="O20" i="1"/>
  <c r="P20" i="1"/>
  <c r="D147" i="2"/>
  <c r="D113" i="2"/>
  <c r="D61" i="2"/>
  <c r="D41" i="2"/>
  <c r="D40" i="2"/>
  <c r="D39" i="2"/>
  <c r="D33" i="2"/>
  <c r="D27" i="2"/>
  <c r="D18" i="2"/>
  <c r="D15" i="2"/>
  <c r="D14" i="2"/>
  <c r="D6" i="2"/>
  <c r="D59" i="1"/>
  <c r="D20" i="1"/>
  <c r="C139" i="2"/>
  <c r="C141" i="2"/>
  <c r="C145" i="2"/>
  <c r="C148" i="2"/>
  <c r="C150" i="2"/>
  <c r="C152" i="2"/>
  <c r="C138" i="2"/>
  <c r="C121" i="2"/>
  <c r="C129" i="2"/>
  <c r="C134" i="2"/>
  <c r="C120" i="2"/>
  <c r="C88" i="2"/>
  <c r="C95" i="2"/>
  <c r="C99" i="2"/>
  <c r="C107" i="2"/>
  <c r="C110" i="2"/>
  <c r="C87" i="2"/>
  <c r="C32" i="2"/>
  <c r="C38" i="2"/>
  <c r="C44" i="2"/>
  <c r="C51" i="2"/>
  <c r="C59" i="2"/>
  <c r="C64" i="2"/>
  <c r="C66" i="2"/>
  <c r="C70" i="2"/>
  <c r="C78" i="2"/>
  <c r="C80" i="2"/>
  <c r="C31" i="2"/>
  <c r="C4" i="2"/>
  <c r="M155" i="2"/>
  <c r="J95" i="1"/>
  <c r="Q95" i="1"/>
  <c r="J96" i="1"/>
  <c r="Q96" i="1"/>
  <c r="J97" i="1"/>
  <c r="Q97" i="1"/>
  <c r="J98" i="1"/>
  <c r="Q98" i="1"/>
  <c r="J94" i="1"/>
  <c r="Q94" i="1"/>
  <c r="J99" i="1"/>
  <c r="Q99" i="1"/>
  <c r="J100" i="1"/>
  <c r="Q100" i="1"/>
  <c r="J101" i="1"/>
  <c r="Q101" i="1"/>
  <c r="J102" i="1"/>
  <c r="Q102" i="1"/>
  <c r="J85" i="1"/>
  <c r="Q85" i="1"/>
  <c r="J86" i="1"/>
  <c r="Q86" i="1"/>
  <c r="J87" i="1"/>
  <c r="Q87" i="1"/>
  <c r="J89" i="1"/>
  <c r="Q89" i="1"/>
  <c r="J90" i="1"/>
  <c r="Q90" i="1"/>
  <c r="J91" i="1"/>
  <c r="Q91" i="1"/>
  <c r="J92" i="1"/>
  <c r="Q92" i="1"/>
  <c r="J61" i="1"/>
  <c r="N61" i="1"/>
  <c r="Q61" i="1"/>
  <c r="J62" i="1"/>
  <c r="N62" i="1"/>
  <c r="Q62" i="1"/>
  <c r="J63" i="1"/>
  <c r="N63" i="1"/>
  <c r="Q63" i="1"/>
  <c r="J64" i="1"/>
  <c r="N64" i="1"/>
  <c r="Q64" i="1"/>
  <c r="J65" i="1"/>
  <c r="N65" i="1"/>
  <c r="Q65" i="1"/>
  <c r="J66" i="1"/>
  <c r="N66" i="1"/>
  <c r="Q66" i="1"/>
  <c r="J67" i="1"/>
  <c r="N67" i="1"/>
  <c r="Q67" i="1"/>
  <c r="J68" i="1"/>
  <c r="N68" i="1"/>
  <c r="Q68" i="1"/>
  <c r="J69" i="1"/>
  <c r="N69" i="1"/>
  <c r="Q69" i="1"/>
  <c r="J70" i="1"/>
  <c r="N70" i="1"/>
  <c r="Q70" i="1"/>
  <c r="R70" i="1"/>
  <c r="J71" i="1"/>
  <c r="N71" i="1"/>
  <c r="J72" i="1"/>
  <c r="N72" i="1"/>
  <c r="J73" i="1"/>
  <c r="N73" i="1"/>
  <c r="J74" i="1"/>
  <c r="N74" i="1"/>
  <c r="J75" i="1"/>
  <c r="N75" i="1"/>
  <c r="J76" i="1"/>
  <c r="N76" i="1"/>
  <c r="J77" i="1"/>
  <c r="N77" i="1"/>
  <c r="J78" i="1"/>
  <c r="N78" i="1"/>
  <c r="R78" i="1"/>
  <c r="J79" i="1"/>
  <c r="N79" i="1"/>
  <c r="Q79" i="1"/>
  <c r="J80" i="1"/>
  <c r="N80" i="1"/>
  <c r="Q80" i="1"/>
  <c r="J81" i="1"/>
  <c r="N81" i="1"/>
  <c r="Q81" i="1"/>
  <c r="J22" i="1"/>
  <c r="N22" i="1" s="1"/>
  <c r="Q22" i="1"/>
  <c r="J23" i="1"/>
  <c r="N23" i="1" s="1"/>
  <c r="Q23" i="1"/>
  <c r="J24" i="1"/>
  <c r="Q24" i="1"/>
  <c r="J25" i="1"/>
  <c r="N25" i="1" s="1"/>
  <c r="Q25" i="1"/>
  <c r="J26" i="1"/>
  <c r="N26" i="1" s="1"/>
  <c r="Q26" i="1"/>
  <c r="J27" i="1"/>
  <c r="N27" i="1" s="1"/>
  <c r="Q27" i="1"/>
  <c r="J28" i="1"/>
  <c r="N28" i="1"/>
  <c r="J29" i="1"/>
  <c r="N29" i="1" s="1"/>
  <c r="Q29" i="1"/>
  <c r="J30" i="1"/>
  <c r="N30" i="1" s="1"/>
  <c r="Q30" i="1"/>
  <c r="J21" i="1"/>
  <c r="N21" i="1" s="1"/>
  <c r="Q21" i="1"/>
  <c r="J31" i="1"/>
  <c r="N31" i="1" s="1"/>
  <c r="Q31" i="1"/>
  <c r="J32" i="1"/>
  <c r="N32" i="1" s="1"/>
  <c r="Q32" i="1"/>
  <c r="J33" i="1"/>
  <c r="N33" i="1"/>
  <c r="J34" i="1"/>
  <c r="N34" i="1" s="1"/>
  <c r="Q34" i="1"/>
  <c r="J35" i="1"/>
  <c r="Q35" i="1"/>
  <c r="J36" i="1"/>
  <c r="N36" i="1" s="1"/>
  <c r="Q36" i="1"/>
  <c r="J37" i="1"/>
  <c r="J38" i="1"/>
  <c r="Q38" i="1"/>
  <c r="J39" i="1"/>
  <c r="N40" i="1" s="1"/>
  <c r="Q39" i="1"/>
  <c r="J40" i="1"/>
  <c r="N41" i="1" s="1"/>
  <c r="Q40" i="1"/>
  <c r="J41" i="1"/>
  <c r="N42" i="1" s="1"/>
  <c r="Q41" i="1"/>
  <c r="J42" i="1"/>
  <c r="N43" i="1" s="1"/>
  <c r="Q42" i="1"/>
  <c r="J43" i="1"/>
  <c r="N44" i="1" s="1"/>
  <c r="Q43" i="1"/>
  <c r="J44" i="1"/>
  <c r="N45" i="1" s="1"/>
  <c r="Q44" i="1"/>
  <c r="J45" i="1"/>
  <c r="N46" i="1" s="1"/>
  <c r="Q45" i="1"/>
  <c r="J46" i="1"/>
  <c r="N47" i="1" s="1"/>
  <c r="Q46" i="1"/>
  <c r="J47" i="1"/>
  <c r="N48" i="1" s="1"/>
  <c r="Q47" i="1"/>
  <c r="J48" i="1"/>
  <c r="N49" i="1" s="1"/>
  <c r="Q48" i="1"/>
  <c r="J49" i="1"/>
  <c r="N50" i="1" s="1"/>
  <c r="Q49" i="1"/>
  <c r="J50" i="1"/>
  <c r="N51" i="1" s="1"/>
  <c r="Q50" i="1"/>
  <c r="J51" i="1"/>
  <c r="N52" i="1" s="1"/>
  <c r="Q51" i="1"/>
  <c r="J52" i="1"/>
  <c r="N53" i="1" s="1"/>
  <c r="Q52" i="1"/>
  <c r="J53" i="1"/>
  <c r="N54" i="1" s="1"/>
  <c r="Q53" i="1"/>
  <c r="J54" i="1"/>
  <c r="N55" i="1" s="1"/>
  <c r="Q54" i="1"/>
  <c r="J55" i="1"/>
  <c r="Q55" i="1"/>
  <c r="J56" i="1"/>
  <c r="Q56" i="1"/>
  <c r="J57" i="1"/>
  <c r="Q57" i="1"/>
  <c r="J58" i="1"/>
  <c r="Q58" i="1"/>
  <c r="R48" i="1"/>
  <c r="N57" i="1"/>
  <c r="J6" i="1"/>
  <c r="Q6" i="1" s="1"/>
  <c r="J7" i="1"/>
  <c r="Q7" i="1" s="1"/>
  <c r="J8" i="1"/>
  <c r="Q8" i="1" s="1"/>
  <c r="J10" i="1"/>
  <c r="R10" i="1"/>
  <c r="J11" i="1"/>
  <c r="Q11" i="1"/>
  <c r="J12" i="1"/>
  <c r="Q12" i="1" s="1"/>
  <c r="J13" i="1"/>
  <c r="Q13" i="1"/>
  <c r="J14" i="1"/>
  <c r="Q14" i="1"/>
  <c r="J15" i="1"/>
  <c r="Q15" i="1"/>
  <c r="J16" i="1"/>
  <c r="R16" i="1"/>
  <c r="J17" i="1"/>
  <c r="R17" i="1"/>
  <c r="J18" i="1"/>
  <c r="Q18" i="1"/>
  <c r="J19" i="1"/>
  <c r="Q19" i="1" s="1"/>
  <c r="J5" i="1"/>
  <c r="Q5" i="1"/>
  <c r="J84" i="1"/>
  <c r="Q84" i="1"/>
  <c r="Q93" i="1"/>
  <c r="J82" i="1"/>
  <c r="N82" i="1"/>
  <c r="J60" i="1"/>
  <c r="N60" i="1"/>
  <c r="D155" i="2"/>
  <c r="E155" i="2"/>
  <c r="H155" i="2"/>
  <c r="K155" i="2"/>
  <c r="L155" i="2"/>
  <c r="N155" i="2"/>
  <c r="O155" i="2"/>
  <c r="R13" i="1"/>
  <c r="R39" i="1"/>
  <c r="R41" i="1"/>
  <c r="R43" i="1"/>
  <c r="R45" i="1"/>
  <c r="R47" i="1"/>
  <c r="R49" i="1"/>
  <c r="R51" i="1"/>
  <c r="R53" i="1"/>
  <c r="R55" i="1"/>
  <c r="R101" i="1"/>
  <c r="R21" i="1"/>
  <c r="D93" i="1"/>
  <c r="R75" i="1"/>
  <c r="R102" i="1"/>
  <c r="R66" i="1"/>
  <c r="R72" i="1"/>
  <c r="R7" i="1"/>
  <c r="R11" i="1"/>
  <c r="P105" i="1"/>
  <c r="N56" i="1"/>
  <c r="D103" i="1"/>
  <c r="D83" i="1"/>
  <c r="R14" i="1"/>
  <c r="R6" i="1"/>
  <c r="R67" i="1"/>
  <c r="R71" i="1"/>
  <c r="R61" i="1"/>
  <c r="R73" i="1"/>
  <c r="R63" i="1"/>
  <c r="R65" i="1"/>
  <c r="R95" i="1"/>
  <c r="R97" i="1"/>
  <c r="R85" i="1"/>
  <c r="R92" i="1"/>
  <c r="R81" i="1"/>
  <c r="R79" i="1"/>
  <c r="R60" i="1"/>
  <c r="R80" i="1"/>
  <c r="R57" i="1"/>
  <c r="R56" i="1"/>
  <c r="R23" i="1"/>
  <c r="R31" i="1"/>
  <c r="R15" i="1"/>
  <c r="R8" i="1"/>
  <c r="R77" i="1"/>
  <c r="R69" i="1"/>
  <c r="R62" i="1"/>
  <c r="R27" i="1"/>
  <c r="R29" i="1"/>
  <c r="R32" i="1"/>
  <c r="R33" i="1"/>
  <c r="R25" i="1"/>
  <c r="R18" i="1"/>
  <c r="R12" i="1"/>
  <c r="R54" i="1"/>
  <c r="R52" i="1"/>
  <c r="R44" i="1"/>
  <c r="R42" i="1"/>
  <c r="R40" i="1"/>
  <c r="R26" i="1"/>
  <c r="R76" i="1"/>
  <c r="R68" i="1"/>
  <c r="J83" i="1"/>
  <c r="R83" i="1" s="1"/>
  <c r="J93" i="1"/>
  <c r="R93" i="1"/>
  <c r="R86" i="1"/>
  <c r="R100" i="1"/>
  <c r="R96" i="1"/>
  <c r="R19" i="1"/>
  <c r="R9" i="1"/>
  <c r="R50" i="1"/>
  <c r="R46" i="1"/>
  <c r="R74" i="1"/>
  <c r="R87" i="1"/>
  <c r="R35" i="1"/>
  <c r="R82" i="1"/>
  <c r="Q60" i="1"/>
  <c r="Q82" i="1"/>
  <c r="Q78" i="1"/>
  <c r="Q77" i="1"/>
  <c r="Q76" i="1"/>
  <c r="Q75" i="1"/>
  <c r="Q74" i="1"/>
  <c r="Q73" i="1"/>
  <c r="Q72" i="1"/>
  <c r="Q71" i="1"/>
  <c r="Q83" i="1" s="1"/>
  <c r="R99" i="1"/>
  <c r="R98" i="1"/>
  <c r="R94" i="1"/>
  <c r="N83" i="1"/>
  <c r="Q37" i="1"/>
  <c r="R34" i="1"/>
  <c r="M105" i="1"/>
  <c r="L108" i="1"/>
  <c r="Q17" i="1"/>
  <c r="Q16" i="1"/>
  <c r="R5" i="1"/>
  <c r="Q33" i="1"/>
  <c r="J59" i="1"/>
  <c r="R59" i="1"/>
  <c r="R28" i="1"/>
  <c r="Q28" i="1"/>
  <c r="Q59" i="1"/>
  <c r="N24" i="1"/>
  <c r="R24" i="1"/>
  <c r="N39" i="1"/>
  <c r="R38" i="1"/>
  <c r="L105" i="1"/>
  <c r="K105" i="1"/>
  <c r="J103" i="1"/>
  <c r="R103" i="1"/>
  <c r="Q10" i="1"/>
  <c r="Q20" i="1"/>
  <c r="J20" i="1"/>
  <c r="J105" i="1"/>
  <c r="R20" i="1"/>
  <c r="D105" i="1" l="1"/>
  <c r="R108" i="1" s="1"/>
  <c r="P155" i="2"/>
  <c r="P156" i="2" s="1"/>
  <c r="N37" i="1"/>
  <c r="N38" i="1"/>
  <c r="Q103" i="1"/>
  <c r="Q105" i="1" s="1"/>
  <c r="C155" i="2"/>
  <c r="O105" i="1"/>
  <c r="F105" i="1"/>
  <c r="N59" i="1" l="1"/>
  <c r="N105" i="1" s="1"/>
</calcChain>
</file>

<file path=xl/sharedStrings.xml><?xml version="1.0" encoding="utf-8"?>
<sst xmlns="http://schemas.openxmlformats.org/spreadsheetml/2006/main" count="824" uniqueCount="519">
  <si>
    <t xml:space="preserve">DETALLE DEL GASTO,  EJECUCION PRESUPUESTARIA </t>
  </si>
  <si>
    <t>AL 31 DE AGOSTO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</si>
  <si>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</si>
  <si>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</si>
  <si>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</si>
  <si>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</si>
  <si>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</si>
  <si>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</si>
  <si>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</si>
  <si>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</si>
  <si>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DECRETO H-006</t>
  </si>
  <si>
    <t>DECRETO DPGN-016 PRESUP. EXTRAORD.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</si>
  <si>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</si>
  <si>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</si>
  <si>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</si>
  <si>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</si>
  <si>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</si>
  <si>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</si>
  <si>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</si>
  <si>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</si>
  <si>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</si>
  <si>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</si>
  <si>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</si>
  <si>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</si>
  <si>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</si>
  <si>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</si>
  <si>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</si>
  <si>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</si>
  <si>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</si>
  <si>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</si>
  <si>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</si>
  <si>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</si>
  <si>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</si>
  <si>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</si>
  <si>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</si>
  <si>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</si>
  <si>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</si>
  <si>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</si>
  <si>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</si>
  <si>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</si>
  <si>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</si>
  <si>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</si>
  <si>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</si>
  <si>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</si>
  <si>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</si>
  <si>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</si>
  <si>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</si>
  <si>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</si>
  <si>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</si>
  <si>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</si>
  <si>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</si>
  <si>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</si>
  <si>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</si>
  <si>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</si>
  <si>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</si>
  <si>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</si>
  <si>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</si>
  <si>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</si>
  <si>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</si>
  <si>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</si>
  <si>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</si>
  <si>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</si>
  <si>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</si>
  <si>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</si>
  <si>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</si>
  <si>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</si>
  <si>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</si>
  <si>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</si>
  <si>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</si>
  <si>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</si>
  <si>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</si>
  <si>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</si>
  <si>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</si>
  <si>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</si>
  <si>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</si>
  <si>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</si>
  <si>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</si>
  <si>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</si>
  <si>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</si>
  <si>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</si>
  <si>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</si>
  <si>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</si>
  <si>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</si>
  <si>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</si>
  <si>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</si>
  <si>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</si>
  <si>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</si>
  <si>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</si>
  <si>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</si>
  <si>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</si>
  <si>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</si>
  <si>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</si>
  <si>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</si>
  <si>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</si>
  <si>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</si>
  <si>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</si>
  <si>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</si>
  <si>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</si>
  <si>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</si>
  <si>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</si>
  <si>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</si>
  <si>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</si>
  <si>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</si>
  <si>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</si>
  <si>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</si>
  <si>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</si>
  <si>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</si>
  <si>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</si>
  <si>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</si>
  <si>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</si>
  <si>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</si>
  <si>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</si>
  <si>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</si>
  <si>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</si>
  <si>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</si>
  <si>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</si>
  <si>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</si>
  <si>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</si>
  <si>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</si>
  <si>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</si>
  <si>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</si>
  <si>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</si>
  <si>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</si>
  <si>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</si>
  <si>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</si>
  <si>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</si>
  <si>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</si>
  <si>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31 DE AGOSTO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</si>
  <si>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</si>
  <si>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</si>
  <si>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</si>
  <si>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</si>
  <si>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</si>
  <si>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</si>
  <si>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</si>
  <si>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</si>
  <si>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</si>
  <si>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</si>
  <si>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</si>
  <si>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</si>
  <si>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</si>
  <si>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</si>
  <si>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</si>
  <si>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</si>
  <si>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</si>
  <si>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</si>
  <si>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</si>
  <si>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</si>
  <si>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</si>
  <si>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</si>
  <si>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</si>
  <si>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</si>
  <si>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</si>
  <si>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</si>
  <si>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</si>
  <si>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</si>
  <si>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</si>
  <si>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</si>
  <si>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</si>
  <si>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</si>
  <si>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</si>
  <si>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</si>
  <si>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</si>
  <si>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</si>
  <si>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</si>
  <si>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</si>
  <si>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</si>
  <si>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</si>
  <si>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</si>
  <si>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</si>
  <si>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</si>
  <si>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</si>
  <si>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</si>
  <si>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</si>
  <si>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</si>
  <si>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</si>
  <si>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</si>
  <si>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</si>
  <si>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</si>
  <si>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</si>
  <si>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</si>
  <si>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</si>
  <si>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</si>
  <si>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</si>
  <si>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</si>
  <si>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</si>
  <si>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</si>
  <si>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</si>
  <si>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</si>
  <si>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</si>
  <si>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</si>
  <si>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</si>
  <si>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</si>
  <si>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</si>
  <si>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</si>
  <si>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</si>
  <si>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</si>
  <si>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</si>
  <si>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</si>
  <si>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</si>
  <si>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</si>
  <si>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</si>
  <si>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</si>
  <si>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</si>
  <si>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</si>
  <si>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</si>
  <si>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</si>
  <si>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</si>
  <si>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</si>
  <si>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</si>
  <si>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</si>
  <si>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</si>
  <si>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</si>
  <si>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</si>
  <si>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</si>
  <si>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</si>
  <si>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</si>
  <si>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</si>
  <si>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</si>
  <si>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</si>
  <si>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</si>
  <si>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</si>
  <si>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</si>
  <si>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</si>
  <si>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</si>
  <si>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</si>
  <si>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</si>
  <si>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</si>
  <si>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</si>
  <si>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</si>
  <si>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</si>
  <si>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</si>
  <si>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</si>
  <si>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</si>
  <si>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</si>
  <si>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</si>
  <si>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</si>
  <si>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</si>
  <si>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</si>
  <si>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</si>
  <si>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</si>
  <si>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</si>
  <si>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</si>
  <si>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</si>
  <si>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</si>
  <si>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</si>
  <si>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</si>
  <si>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</si>
  <si>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</si>
  <si>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</si>
  <si>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</si>
  <si>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</si>
  <si>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</si>
  <si>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</si>
  <si>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</si>
  <si>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</si>
  <si>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</si>
  <si>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</si>
  <si>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</si>
  <si>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</si>
  <si>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</si>
  <si>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</si>
  <si>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</si>
  <si>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</si>
  <si>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</si>
  <si>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</si>
  <si>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</si>
  <si>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</si>
  <si>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</si>
  <si>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</si>
  <si>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</si>
  <si>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</si>
  <si>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</si>
  <si>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</si>
  <si>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</si>
  <si>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</si>
  <si>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</si>
  <si>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</si>
  <si>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</si>
  <si>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</si>
  <si>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</si>
  <si>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</si>
  <si>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</si>
  <si>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</si>
  <si>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</si>
  <si>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</si>
  <si>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</si>
  <si>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</si>
  <si>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</si>
  <si>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</si>
  <si>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</si>
  <si>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</si>
  <si>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</si>
  <si>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</si>
  <si>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</si>
  <si>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</si>
  <si>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</si>
  <si>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</si>
  <si>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agosto 2018</t>
  </si>
  <si>
    <t>Presupuesto Ordinario</t>
  </si>
  <si>
    <t>TRANSF. BANCO 25488055</t>
  </si>
  <si>
    <t>PRESUPUESTO ORDINARIO</t>
  </si>
  <si>
    <t>Alejandra Vega Hidalgo</t>
  </si>
  <si>
    <t>PAGO DE GIRA LIQUIDACION GV-373, REUNIONES EN MONTEVERDE, BAGACES, NICOYA Y SANTA CRUZ</t>
  </si>
  <si>
    <t>TRANSF. BANCO 25488791</t>
  </si>
  <si>
    <t xml:space="preserve">Ma. del Milagro Mora Guzmán </t>
  </si>
  <si>
    <t>PAGO DE GIRAS REALIZADAS LIQ. GV-370 REUNION MUNICIPALIDAD  PUNTARENAS, Y LIQUIDACION GV-372 REUNIONES VARIAS EN NICOYA</t>
  </si>
  <si>
    <t>TRANSF. BANCO 25489234</t>
  </si>
  <si>
    <t>ROBERTO DEPRADO LIZANO</t>
  </si>
  <si>
    <t>Transf. SRB-1301-18 CajaChica-P.Z.(1660)</t>
  </si>
  <si>
    <t>TRANSF. BANCO 25508738</t>
  </si>
  <si>
    <t xml:space="preserve">Hannia Silesky Jiménez </t>
  </si>
  <si>
    <t>ADELANTO GIRA A PUERTO VIEJO, REUNION CON SALUD VALLE DE LA ESTRELLA Y REUNION EN SAN RAFAEL</t>
  </si>
  <si>
    <t>TRANSF. BANCO 2032874</t>
  </si>
  <si>
    <t>BANCO NACIONAL DE COSTA RICA</t>
  </si>
  <si>
    <t>Recarga Automática Tarjeta Quick Pass</t>
  </si>
  <si>
    <t>TRANSF. BANCO 26099538</t>
  </si>
  <si>
    <t xml:space="preserve">Marvin Fernández Ramírez </t>
  </si>
  <si>
    <t>ADELANTO GIRA A OSA, TRASLADO SR. LUIS RICHMOND SOLIS</t>
  </si>
  <si>
    <t>TRANSF. BANCO 6167</t>
  </si>
  <si>
    <t>JUANITA LEE CERDAS</t>
  </si>
  <si>
    <t>REINTEGRO FONDO DE CAJA CHICA TESORERÍA  NÚMERO 1306</t>
  </si>
  <si>
    <t>TRANSF. BANCO 6168</t>
  </si>
  <si>
    <t>JORGE EDO. MARÍN AZOFEIFA</t>
  </si>
  <si>
    <t>ADELANTO GIRA A NICOYA ENTEGA CITACION PERSONAL DH-0647-2018</t>
  </si>
  <si>
    <t>TRANSF. BANCO 26414793</t>
  </si>
  <si>
    <t xml:space="preserve">Kenneth Agüero Santos </t>
  </si>
  <si>
    <t>ADELANTO GIRA A SAN JOSÉ, PROGRAMA MANEJO DEL ESTRÉS Y LA ANSIEDAD EN SEDE CENTRAL</t>
  </si>
  <si>
    <t>TRANSF. BANCO 6169</t>
  </si>
  <si>
    <t xml:space="preserve">KAREN ROMÁN GUERRERO </t>
  </si>
  <si>
    <t>REINTEGRO FONDO DE CAJA CHICA PROVEEDURIA  NÚMERO 1309</t>
  </si>
  <si>
    <t>TRANSF. BANCO 26728792</t>
  </si>
  <si>
    <t xml:space="preserve">Julio Hernández Ramírez </t>
  </si>
  <si>
    <t>ADELANTO GIRA A PEREZ ZELEDON TRASLADO FUNCIONARIO GIOVANNI BARBOZA R</t>
  </si>
  <si>
    <t>TRANSF. BANCO 26889249</t>
  </si>
  <si>
    <t>MARVIN GERARDO ALPIZAR BLANCO</t>
  </si>
  <si>
    <t>Transf.SRCH-1307-18 CChica-Liberia(1668)</t>
  </si>
  <si>
    <t>TRANSF. BANCO 26888381</t>
  </si>
  <si>
    <t>ADELANTO GIRA A AGUIRRE-QUEPOS, TRASLADO FUNCIONARIAS DE PROMOCION Y DIVULGACION</t>
  </si>
  <si>
    <t>TRANSF. BANCO 26888897</t>
  </si>
  <si>
    <t>ADELANTO GIRA A PARRITA QUEPOS, CAPACITACION DOCENTES CENTROS LIBRES DE DISCRIMINACIÓN</t>
  </si>
  <si>
    <t>TRANSF. BANCO 26888635</t>
  </si>
  <si>
    <t xml:space="preserve">Rebeca Gallardo Barquero </t>
  </si>
  <si>
    <t>TRANSF. BANCO 26936869</t>
  </si>
  <si>
    <t xml:space="preserve">Jerhyn Varela Vargas </t>
  </si>
  <si>
    <t>TRANSF. BANCO 26889720</t>
  </si>
  <si>
    <t>VICTOR ROJAS GONZALEZ</t>
  </si>
  <si>
    <t>Transf. SRA-1300y1305 CChica-Limón(1669)</t>
  </si>
  <si>
    <t>TRANSF. BANCO 27187080</t>
  </si>
  <si>
    <t>Transf. SRB-1308-18 CajaChica-P.Z.(1671)</t>
  </si>
  <si>
    <t>TRANSF. BANCO 27279905</t>
  </si>
  <si>
    <t>José P. Rodríguez Alpízar</t>
  </si>
  <si>
    <t>ADELANTO GIRA A CORREDORES GIRA COORDINACION VICEMINISTRO INFRAESTRUCTURA DEL MOPT Y REUNION PREVIA RENDICION CUENTAS</t>
  </si>
  <si>
    <t>TRANSF. BANCO 27280314</t>
  </si>
  <si>
    <t>ADELANTO GIRA A BUENOS AIRES DE PUNTARENAS TRASLADO A JUAN MANUEL CORDERO, DEFENSOR EN FUNCIONES</t>
  </si>
  <si>
    <t>TRANSF. BANCO 27280440</t>
  </si>
  <si>
    <t xml:space="preserve">Jacqueline Romero Barquero </t>
  </si>
  <si>
    <t>ADELANTO GIRA A TALAMANCA, PREVENSIÓN SUICIDIO JOVENES, TALAMANCA Y CENTRO INFANTIL BILINGÜE UCR</t>
  </si>
  <si>
    <t>TRANSF. BANCO 27280155</t>
  </si>
  <si>
    <t>ADELANTO GIRA A CORREDORES, TRASLADO SR. JOSE PABLO RODRIGUEZ ALPIZAR</t>
  </si>
  <si>
    <t>TRANSF. BANCO 27434864</t>
  </si>
  <si>
    <t>ADELANTO GIRA A CORREDORES, IMPARTIR TALLER CONVENIO 169 COMUNIDAD NGOBE</t>
  </si>
  <si>
    <t>TRANSF. BANCO 27416080</t>
  </si>
  <si>
    <t>Hannia Silesky Jiménez</t>
  </si>
  <si>
    <t>TRANSF. BANCO 6172</t>
  </si>
  <si>
    <t>REINTEGRO FONDO DE CAJA CHICA PROVEEDURIA  NÚMERO 1310</t>
  </si>
  <si>
    <t>TRANSF. BANCO 27645328</t>
  </si>
  <si>
    <t>ADELANTO GIRA A NICOYA, TRASLADO FUNCIONARIA CAROLINA RAMIREZ R</t>
  </si>
  <si>
    <t>TRANSF. BANCO 6171</t>
  </si>
  <si>
    <t xml:space="preserve">JUAN MANUEL CORDERO GONZÁLEZ </t>
  </si>
  <si>
    <t>ADELANTO DE VIATICOS LIMÓN PARTICIPACIÓN EN LA MARCHA AFRODESCENDIENTES</t>
  </si>
  <si>
    <t>TRANSF. BANCO 27698248</t>
  </si>
  <si>
    <t>ADELANTO GIRA A LOS CHILES, TRASLADO FUNCIONARIAS DE PROMOCIÓN</t>
  </si>
  <si>
    <t>TRANSF. BANCO 27699335</t>
  </si>
  <si>
    <t xml:space="preserve">Alejandra Mora Mora </t>
  </si>
  <si>
    <t>TRANSF. BANCO 6173</t>
  </si>
  <si>
    <t xml:space="preserve">CARLOS ÁLVAREZ PRENDAS </t>
  </si>
  <si>
    <t>ADELANTO GIRA A PUERTO VIEJO, TRASLADO DEFENSOR EN FUNCIONES</t>
  </si>
  <si>
    <t>TRANSF. BANCO 6174</t>
  </si>
  <si>
    <t>REINTEGRO FONDO DE CAJA CHICA TESORERÍA  NÚMERO 1311</t>
  </si>
  <si>
    <t>TRANSF. BANCO 27698518</t>
  </si>
  <si>
    <t xml:space="preserve">Ana L. Montero Badilla </t>
  </si>
  <si>
    <t>ADELANTO GIRA A LOS CHILES, REUNION OFICINA REGIONAL. VISITA PROYECTO ALFABETIZACION PERSONAS ADULTAS MAYORES</t>
  </si>
  <si>
    <t>TRANSF. BANCO 27698988</t>
  </si>
  <si>
    <t xml:space="preserve">Jacqueline Romero Solano </t>
  </si>
  <si>
    <t>SPMPO-082-2018 CTA #TRANF.CTES</t>
  </si>
  <si>
    <t>TELERAD TELECOMUNICACIONES RADIODIGITALES S A</t>
  </si>
  <si>
    <t>Defensoría Habitantes, SPMPO Nº082, SICOP 35-Toner Impresora Lexmark MS610dn  Contrato043044/SP.200105  Reg.103-808-20104 ¢4,388,262.04 (2%Ret.¢87,765.24) (NotaCrédito 82-2018 $84)</t>
  </si>
  <si>
    <t>I M INVERSIONES MULTIACCESS SOCIEDAD ANONIMA</t>
  </si>
  <si>
    <t>Defensoría Habitantes, SPMPO N°082, SICOP 5-Toner Impresora HP  Contrato043046/SP.200105  Reg.103-808-20104</t>
  </si>
  <si>
    <t>INGRID KASSANDRA ALVARADO HERRERA</t>
  </si>
  <si>
    <t>Defensoría Habitantes, SPMPO N°082, Ayuda Económica Estudiantes Colegios Técnicos Profesionales (16 días) 09-31/07/2018  Reserva 100027  Reg.103-808-60202 (Acuerdo 1736 11/12/12)</t>
  </si>
  <si>
    <t>CORPORACION MEXIN IMPERIO LIMITADA</t>
  </si>
  <si>
    <t>Defensoría Habitantes, SPMPO N°082, Monitoreo y Resp. Armada Alarma Ofic.Reg.Cdad.Neilly JUL-18  Fact.Gob.375-18  OP.15070/SP.200128  Reg.103-808-10406</t>
  </si>
  <si>
    <t>JORGE ENRIQUE ALFARO ZU\IGA</t>
  </si>
  <si>
    <t>Defensoría Habitantes, SPMPO N°082, Alquiler Local Ofic.Reg.Cdad.Neilly 28/06/18-28/07/18  Fact.Gob.433-18  OP.15059/SP.200123  Reg.103-808-10101 ¢728,108.70 (2%Ret.¢14,562.17)</t>
  </si>
  <si>
    <t>YANCY MORA GONZALEZ</t>
  </si>
  <si>
    <t>Defensoría Habitantes, SPMPO N°082, VIÁTICOS Pago Gira San José 06,07/06/18  Res.100051  Reg.103-808-10502</t>
  </si>
  <si>
    <t>SPMPO-083-2018 CTA #TRANF.CTES</t>
  </si>
  <si>
    <t>MINISTERIO DE HACIENDA</t>
  </si>
  <si>
    <t>Defensoría Habitantes, SPMPO Nº083, Pago Retención 2% Impto. s/Renta JUL-18 (Vence 16-Ago-18)</t>
  </si>
  <si>
    <t>SPMPO-08-2018 CTA #TRANF.CTES</t>
  </si>
  <si>
    <t>CUATRO EN LINEA AUTOMOTRIZ S. A.</t>
  </si>
  <si>
    <t>Defensoría Habitantes, SPMPO N°084, SICOP Mant.Prev.Veh.Placa DH-32  Contrato043056/SP.200101  Reg.103-808-10805</t>
  </si>
  <si>
    <t>SPMPO-084-2018 CTA #TRANF.CTES</t>
  </si>
  <si>
    <t>PROPAK DE COSTA RICA S A</t>
  </si>
  <si>
    <t>Defensoría Habitantes, SPMPO N°084, SICOP 70-Llave Maya USB 8GB Propak  Contrato043058/SP.200119  Reg.103-808-10701</t>
  </si>
  <si>
    <t>VICENTE JAVIER RODRIGUEZ TALAVERA</t>
  </si>
  <si>
    <t>Defensoría Habitantes, SPMPO N°084, SICOP Mant.yRep.Veh. DH-34  Contrato043030/SP.200101  Reg.103-808-10805</t>
  </si>
  <si>
    <t>Defensoría Habitantes, SPMPO N°084, SICOP Mant.yRep.Veh. DH-32  Contrato043030/SP.200101  Reg.103-808-10805</t>
  </si>
  <si>
    <t>Defensoría Habitantes, SPMPO N°084, SICOP Mant.yRep.Veh. DH-36  Contrato043030/SP.200101  Reg.103-808-10805</t>
  </si>
  <si>
    <t>SPMPO-080-2018 CTA #TRANF.CTES</t>
  </si>
  <si>
    <t>SERVICIO DE MONITOREO ELECTRONICO ALFA SOCIEDAD AN</t>
  </si>
  <si>
    <t>Defensoría Habitantes, SPMPO N°080, SICOP Serv.Monitoreo Alarma y Resp.Armada Ofics.Regs. Limón, Ptnas, Liberia y PZ JUL-18  OP.15025/SP.200012  Reg.103-808-10406</t>
  </si>
  <si>
    <t>Defensoría Habitantes, SPMPO N°080, SICOP Serv.Monitoreo Alarma y Resp.Armada Ofics.Reg. San Carlos JUL-18  OP.15025/SP.200012  Reg.103-808-10406</t>
  </si>
  <si>
    <t>REPRESENTACIONES SUMI COMP EQUIPOS S A</t>
  </si>
  <si>
    <t>Defensoría Habitantes, SPMPO N°084, SICOP 4-Toner MLT-D201l/XAA Samsung  Contrato043050/SP.200105  Reg.103-808-20104</t>
  </si>
  <si>
    <t>CAJA COSTARRICENSE DEL SEGURO SOCIAL</t>
  </si>
  <si>
    <t>Defensoría Habitantes, SPMPO Nº084, Cont.Estatal Seg.de Pensiones MAY-18 Ley #17 22/10/1943 y Reglam.6898 07/02/1995 y sus reformas  Fact.Gob.374-18  Res.100008  Reg.103-808-60103 IP-200 (Se aplica Estudio Sumas a Favor de Ene-18)</t>
  </si>
  <si>
    <t>Defensoría Habitantes, SPMPO Nº084, Cont.Estatal Seg.de Salud MAY-18 Ley #17 22/10/1943 y Reglam.6898 07/02/1995 y sus reformas  Fact.Gob.374-18  Res.100009  Reg.103-808-60103 IP-202 (Se aplica Estudio Sumas a Favor de Ene-18)</t>
  </si>
  <si>
    <t>SOAGUI S A</t>
  </si>
  <si>
    <t>Defensoría Habitantes, SPMPO N°084, Alquiler Local Ofic.Reg.Ptnas 22/05/18-22/06/18  Fact.Gob.434-18  OP.15005/SP.200003  Reg.103-808-10101</t>
  </si>
  <si>
    <t>SOLUCIONES EN REPUESTOS S. A.</t>
  </si>
  <si>
    <t>Defensoría Habitantes, SPMPO N°084, Alquiler Estacionam. DH-32 Ofic.Reg.Liberia JUL-18  Fact.Gob.435-18  OP.15058/SP.200123  Reg.103-808-10101</t>
  </si>
  <si>
    <t>UNION DE TRABAJADORES AGROINDUSTRIALES DEL CANTON</t>
  </si>
  <si>
    <t>Defensoría Habitantes, SPMPO N°084, Alquiler Local Ofic.Reg.P.Z. JUN-18  Fact.Gob.436-18   OP.15006/SP.200003  Reg.103-808-10101 ¢480,953 (2%Ret.¢9,619.05)</t>
  </si>
  <si>
    <t>ASOCIACION SOLIDARISTA DE FUNCIONARIOS Y FUNCIONAR</t>
  </si>
  <si>
    <t>Defensoría Habitantes, SPMPO N°084, Pago 5% Aporte Patronal JUL-2018  Fact.Gob.437-18  Res.100906  Reg.103-808-00505</t>
  </si>
  <si>
    <t>CAROLINA RAMIREZ RAMIREZ</t>
  </si>
  <si>
    <t>Defensoría Habitantes, SPMPO N°084, Alquiler Local Ofic.Reg.Limón JUL-18  Fact.Gob.438-18  OP.15057/SP.200123  Reg.103-808-10101 ¢770,000 (2%Ret.¢15,400)</t>
  </si>
  <si>
    <t>INSTITUTO COSTARRICENSE DE ELECTRICIDAD</t>
  </si>
  <si>
    <t>Defensoría Habitantes, SPMPO Nº084, Serv.Electricidad Ofic.Reg.P.Z. JUL-18  Fact.Gob.439-18  OP.15010/SP.200005  Reg.103-808-10202 (Vence 24/08/18 Loc.166070300234)</t>
  </si>
  <si>
    <t>MUNICIPALIDAD DE SAN CARLOS</t>
  </si>
  <si>
    <t>Defensoría Habitantes, SPMPO N°084, Serv.AguaMedida, Recolecc.Basura JUL-18   Fact.Gob.440-18  OP.15050/SP.200107  Reg.103-808-10299</t>
  </si>
  <si>
    <t>LUIS GUILLERMO QUESADA GARCIA</t>
  </si>
  <si>
    <t>Defensoría Habitantes, SPMPO N°084, VIÁTICOS Pago Giras: Nicoya 26,27/07/18 ¢37,450 y Pto.Viejo 06,07/08/18 ¢39,850  Res.100051  Reg.103-808-10502</t>
  </si>
  <si>
    <t>MARJORIE HERRERA CASTRO</t>
  </si>
  <si>
    <t>Defensoría Habitantes, SPMPO N°084, VIÁTICOS Pago Gira Corredores 26,27/07/18  Res.100051  Reg.103-808-10502</t>
  </si>
  <si>
    <t>SPMPO-086-2018 CTA #TRANF.CTES</t>
  </si>
  <si>
    <t>Defensoría de los Habitantes, SPMPO-086, Aporte Pat. Banco Popular, 0.50% Planila Fija, JULIO-2018 Fact. Gob. 451-18, res. 100003-808-0405</t>
  </si>
  <si>
    <t>Defensoría de los Habitantes, SPMPO-086, Cont. Pat. Seg. Pensiones, 5.08% Planila Fija, JULIO-2018 Fact. Gob. 450-18, res. 100002-808-0501</t>
  </si>
  <si>
    <t>Defensoría de los Habitantes, SPMPO-086, Cont. Pat. Seg. Salud, 9.25% Planila Fija, JULIO-2018 Fact. Gob. 451-18, res. 100001-808-0401</t>
  </si>
  <si>
    <t>Defensoría de los Habitantes, SPMPO-086, Aporte Pat. Reg. Oblig. Pensiones 1.5% Planila Fija, JULIO-2018 Fact. Gob. 452-18, res. 100004-808-0502</t>
  </si>
  <si>
    <t>Defensoría de los Habitantes, SPMPO-086, Aporte Pat. FCL 3% Planila Fija, JULIO-2018 Fact. Gob. 453-18, res. 100005-808-0503</t>
  </si>
  <si>
    <t>SPMPO-087-2018 CTA #TRANF.CTES</t>
  </si>
  <si>
    <t>COMERCIALIZADORA S Y G INTERNACIONAL S A</t>
  </si>
  <si>
    <t>Defensoría Habitantes, SPMPO Nº087, SICOP 33-Cj.50unid.Carpeta Colgante Gapsa, Mod. FV-15  Contrato043068/SP.200079  Reg.103-808-29903 ¢990,000 (2%Ret.¢19,800)</t>
  </si>
  <si>
    <t>TECHNI SERVICIOS V &amp; M S. A.</t>
  </si>
  <si>
    <t>Defensoría Habitantes, SPMPO Nº087, SICOP Suministro e Instal. Módulo Control Sist.de Transferencia Autom.de la Planta Generadora Eléctrica  Contrato043055/SP.200115  Reg.103-808-10804 ¢1,591,597.50 (2%Ret.¢31,831.95)</t>
  </si>
  <si>
    <t>GRUPO COMERCIAL TECTRONIC S. A.</t>
  </si>
  <si>
    <t>Defensoría Habitantes, SPMPO Nº087, SICOP 14-Equipos:Suministro e Instal. Aires Acond. Tropicool, Activos 6070a6083  Contratos043057/SP.200049 y 049002/SP.200089  Reg.103-808-50104 ¢17,959,844.62 (2%Ret.¢359,196.89) ($31,498x¢570.19)</t>
  </si>
  <si>
    <t>YIRE MEDICA H P S A</t>
  </si>
  <si>
    <t>Defensoría Habitantes, SPMPO Nº087, SICOP Agujas Hipodérm, Algodón, Jeringas, etc.  Contrato043037/SP.200056  Reg.103-808-29902 ($98.24x¢570.19)</t>
  </si>
  <si>
    <t>Defensoría Habitantes, SPMPO Nº087, SICOP 15-Cj Apósito 4x4 Estéril marca Dynarex  Contratos043037/SP.200056 y 042006/SP.200052  Reg.103-808-29902 ¢55,959.85 y 20102 ¢5,021.97</t>
  </si>
  <si>
    <t>CORREOS DE COSTA RICA S A</t>
  </si>
  <si>
    <t>Defensoría Habitantes, SPMPO Nº087, SICOP Serv.Correspondencia y Fax JUL-18  OP.15013/SP.200006  Reg.103-808-10203 ¢716,840 (2%Ret.¢14,336.80)</t>
  </si>
  <si>
    <t>DOCUMENT MANAGEMENT SOLUTION DMS SOCIEDAD DE RESPO</t>
  </si>
  <si>
    <t>Defensoría Habitantes, SPMPO Nº087, Serv.Custodia y Adm.Documentos JUL-18  Fact.Gob.396-18  OP.15026/SP.200012 ¢89,974.23 y OP.15076/SP.200096 ¢322,317.58   Reg.103-808-10406 ¢412,291.81 (2%Ret.¢8,245.84)</t>
  </si>
  <si>
    <t>Defensoría Habitantes, SPMPO Nº087, Serv.Electricidad Ofic.Reg.Cdad.Neilly AGO-18  Fact.Gob.441-18  OP.15064/SP.200124  Reg.103-808-10202 (Vence31/08/18  Loc.211003716800)</t>
  </si>
  <si>
    <t>Defensoría Habitantes, SPMPO Nº087, Serv.Electricidad Ofic.Reg.Limón AGO-18  Fact.Gob.442-18  OP.15064/SP.200124  Reg.103-808-10202 (Vence31/08/18 Loc.11104833100)</t>
  </si>
  <si>
    <t>COMPA#IA NACIONAL DE FUERZA Y LUZ S A</t>
  </si>
  <si>
    <t>Defensoría Habitantes, SPMPO Nº087, Serv.Electricidad Ofic.Ctl.DHR AGO-18  Fact.Gob.443-18  OP.15012/SP.200005 ¢75,345 y OP.15066/SP.200124 ¢1,436,140  Reg.103-808-10202 ¢1,511,485 (2%Ret.¢30,229.70)  (Vence21/08/18 Loc.0401701190)</t>
  </si>
  <si>
    <t>CALUASA CARROCERIA Y PINTURA S. A.</t>
  </si>
  <si>
    <t>Defensoría Habitantes, SPMPO N°087, Deducible INS Toyota KIA SPORTAGE DH-45, Liquidación INS1857526, AvisoH375180123  Fact.Gob.449-18  OP.15075/SP.200135  Reg.103-808-19905</t>
  </si>
  <si>
    <t>FLORIA CORONADO BOLA\OS</t>
  </si>
  <si>
    <t>Defensoría Habitantes, SPMPO N°087, VIÁTICOS Pago Gira San José 07/08/18  Res.100051  Reg.103-808-10502</t>
  </si>
  <si>
    <t>Defensoría Habitantes, SPMPO N°087, VIÁTICOS Pago Gira San José 07/08/18  Res.100050  Reg.103-808-10501</t>
  </si>
  <si>
    <t>ANA LORENA MONTERO BADILLA</t>
  </si>
  <si>
    <t>Defensoría Habitantes, SPMPO N°087, VIÁTICOS Pago Gira Pto.Viejo 06,07/08/18  Res.100051  Reg.103-808-10502</t>
  </si>
  <si>
    <t>JERHYN VARELA VARGAS</t>
  </si>
  <si>
    <t>Defensoría Habitantes, SPMPO N°087, VIÁTICOS Pago Gira San José 06,07/08/18  Res.100051  Reg.103-808-10502</t>
  </si>
  <si>
    <t>Defensoría Habitantes, SPMPO N°087, VIÁTICOS Pago Gira San José 06,07/08/18  Res.100050 ¢6,260 y Res.1000074 ¢580  Reg.103-808-10501</t>
  </si>
  <si>
    <t>RPOST S. A.</t>
  </si>
  <si>
    <t>Defensoría Habitantes, SPMPO Nº087, Serv.Correo Electrónico Certificado 13/06/18-12/07/18  Fact.Gob.424-18  OP.15053/SP.200116 ¢1,166,850.17 y OP.15077/SP.200137 ¢483,650.64  Reg.103-808-10307 ¢1,650,500.81 (2%Ret.¢33,010.01)</t>
  </si>
  <si>
    <t>SPMPO-088-2018 CTA #TRANF.CTES</t>
  </si>
  <si>
    <t>ACCESOS AUTOMATICOS S A</t>
  </si>
  <si>
    <t>Defensoría Habitantes, SPMPO N°088, SICOP Serv.Mant.Preventivo Barreras Automáticas ABR-18  Contrato015044/SP.200094  Reg.103-808-10801</t>
  </si>
  <si>
    <t>NAVEGACION SATELITAL DE COSTA RICA S. A.</t>
  </si>
  <si>
    <t>Defensoría Habitantes, SPMPO N°088, SICOP 2-Serv.Técnico EzTrack Traslado de Equipos: DH26 a DH-44, DH25 a DH-45  Contrato043021/SP.200048  Reg.103-808-10805</t>
  </si>
  <si>
    <t>COMERCIALIZADORA GORI ALBISA S. A.</t>
  </si>
  <si>
    <t>Defensoría Habitantes, SPMPO N°088, SICOP 3000-Vasos Cartón 6onz Contrato043066/SP.200079  Reg.103-808-29903</t>
  </si>
  <si>
    <t>M E S T  MULTISERVICIOS EMPRESARIALES SOLUCION TOT</t>
  </si>
  <si>
    <t>Defensoría Habitantes, SPMPO N°088, SICOP 35-Almohadillas y 5-Tinta Sello Acritela Azul Contrato043067/SP.200067  Reg.103-808-29901</t>
  </si>
  <si>
    <t>TIANCY MEDICA S. A.</t>
  </si>
  <si>
    <t>Defensoría Habitantes, SPMPO N°088, SICOP 10-Cj.100unid. Jeringa Descartable Ambiderm 3cc y 20-Paq.100unid Paleta Baja Lengua  Contrato043036/SP.200056  Reg.103-808-29902</t>
  </si>
  <si>
    <t>GRP LIBERTAD S. A.</t>
  </si>
  <si>
    <t>Defensoría Habitantes, SPMPO N°088, SICOP 105-Vacunas Fluarix Tetra 2018  Contrato043033/SP.200090  Reg.103-808-20102 ¢707,700 (2%Ret.¢14,154)</t>
  </si>
  <si>
    <t>ECOTECNOLOGÍAS QUÍMICAS S. A.</t>
  </si>
  <si>
    <t>Defensoría Habitantes, SPMPO N°088, SICOP 218-Bolsa Basura 37x55  Contrato043071/SP.200059  Reg.103-808-29905</t>
  </si>
  <si>
    <t>MEI R L J LIBERIA SOCIEDAD ANONIMA</t>
  </si>
  <si>
    <t>Defensoría Habitantes, SPMPO N°088, Alquiler Local Ofic.Reg.Liberia JUL-18  Fact.Gob.445-18   OP.15060/SP.200123  Reg.103-808-10101 ¢809,570 (2%Ret.¢16,191.40)</t>
  </si>
  <si>
    <t>GRUPO EMPRESARIAL OROSOL S. A.</t>
  </si>
  <si>
    <t>Defensoría Habitantes, SPMPO N°088, Serv.Parqueo DH-29 de Sede Reg.Limón 15/06/18-15/07/18  Fact.Gob.444-18  OP.15038/SP.200029  Reg.103-808-10101</t>
  </si>
  <si>
    <t>Defensoría Habitantes, SPMPO N°088, Reint.Gasto Membresías BN-Flota Set-17 a Jun-18 Compra Combustible Gasolina y Diesel Vehículos  Res.100083  Reg.103-808-10306</t>
  </si>
  <si>
    <t>Defensoría Habitantes, SPMPO N°088, VIÁTICOS Pago Gira Nicoya 26/07/18  Res.100051  Reg.103-808-10502</t>
  </si>
  <si>
    <t>LUIS ALEJANDRO RICHMOND SOLIS</t>
  </si>
  <si>
    <t>Defensoría Habitantes, SPMPO N°088, VIÁTICOS Pago Gira Uvita 09,10/08/18  Res.100051  Reg.103-808-10502</t>
  </si>
  <si>
    <t>ROBERTO DE PRADO LIZANO</t>
  </si>
  <si>
    <t>Defensoría Habitantes, SPMPO N°088, VIÁTICOS Pago Gira San José 08,09/08/18  Res.100051  Reg.103-808-10502</t>
  </si>
  <si>
    <t>Defensoría Habitantes, SPMPO N°088, VIÁTICOS Pago Gira San José 08,09,10/08/18  Res.100051  Reg.103-808-10502</t>
  </si>
  <si>
    <t>GIOVANNI BARBOZA RAMIREZ</t>
  </si>
  <si>
    <t>Defensoría Habitantes, SPMPO N°088, VIÁTICOS Pago Gira Pérez Zeledón 16,17/08/18  Res.100051  Reg.103-808-10502</t>
  </si>
  <si>
    <t>COOPERATIVA DE ELECTRIFICACION RURAL DE SAN CARLOS</t>
  </si>
  <si>
    <t>Defensoría Habitantes, SPMPO Nº088, Serv.Electricidad Ofic.Reg.SanCarlos AGO-18  Fact.Gob.462-18  OP.15011/SP.200005 ¢15,663.29 y OP.15065/SP.200124 ¢14,962.64  Reg.103-808-10202 (Vence 27/08/18)</t>
  </si>
  <si>
    <t>SPMPO-089-2018 CTA #TRANF.CTES</t>
  </si>
  <si>
    <t>Defensoría Habitantes, SPMPO N°089, SICOP 70-Llave Maya USB 8GB Propak  Contrato043053/SP.200103  Reg.103-808-29901</t>
  </si>
  <si>
    <t>ERIAL B Q S A</t>
  </si>
  <si>
    <t>Defensoría Habitantes, SPMPO N°089, SICOP 59-Cj Papel Premium OD T/Carta75gr  Contrato043061/SP200106  Reg.103-808-29903 ¢920,577 (2%Ret.¢18,411.54)</t>
  </si>
  <si>
    <t>PAVA DE GRECIA S A</t>
  </si>
  <si>
    <t>Defensoría Habitantes, SPMPO N°089, SICOP 45-Shampoo "Pava de Grecia" p/Carro y 70-Silicón Abrillantador 250ml "Pava de Grecia"  Contrato043073/SP200059  Reg.103-808-29905</t>
  </si>
  <si>
    <t>INSTITUTO COSTARRICENSE DE ACUEDUCTOS Y ALCANTARIL</t>
  </si>
  <si>
    <t>Defensoría Habitantes, SPMPO N°089, Serv.AyA Ofic.Reg.Ptnas.05/07/18  Fact.Gob.455-18  OP.15039/SP.200069  Reg.103-808-10201</t>
  </si>
  <si>
    <t>Defensoría Habitantes, SPMPO N°089, Serv.AyA Ofic.Reg.C.Neilly 10/07/18  Fact.Gob.456-18  OP.15039/SP.200069  Reg.103-808-10201</t>
  </si>
  <si>
    <t>Defensoría Habitantes, SPMPO N°089, Serv.AyA Ofic.Ctl.DHR 16/07/18  Fact.Gob.457-18  OP.15039/SP.200069 ¢1,219,714 y OP.15082/SP.200155 ¢643,387  Reg.103-808-10201 ¢1,863,101 (2%Ret.¢37,262.02)</t>
  </si>
  <si>
    <t>Defensoría Habitantes, SPMPO N°089, Serv.AyA Ofic.Reg.Limón 02/07/18  Fact.Gob.458-18  OP.15039/SP.200069  Reg.103-808-10201</t>
  </si>
  <si>
    <t>Defensoría Habitantes, SPMPO N°089, Serv.AyA Ofic.Reg.Liberia 06/07/18  Fact.Gob.459-18  OP.15039/SP.200069  Reg.103-808-10201</t>
  </si>
  <si>
    <t>Defensoría Habitantes, SPMPO N°089, Alquiler Local Ofic.Reg.Ptnas 22/06/18-22/07/18  Fact.Gob.461-18  OP.15061/SP.200123  Reg.103-808-10101</t>
  </si>
  <si>
    <t>Defensoría Habitantes, SPMPO N°089, Serv.Parqueo DH-29 de Sede Reg.Limón 15/07/18-15/08/18  Fact.Gob.463-18  OP.15038/SP.200029  Reg.103-808-10101</t>
  </si>
  <si>
    <t>Defensoría Habitantes, SPMPO Nº089, Serv.Electricidad Ofic.Reg.Ptnas AGO-18  Fact.Gob.465-18  OP.15064/SP.200124  Reg.103-808-10202 (Vence31/08/18 Loc.131006429600)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</si>
</sst>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 * #,##0.00_)\ _₡_ ;_ * \(#,##0.00\)\ _₡_ ;_ * &quot;-&quot;??_)\ _₡_ ;_ @_ "/>
    <numFmt numFmtId="165" formatCode="d\-m\-yy\ h:mm;@"/>
    <numFmt numFmtId="166" formatCode="_-* #,##0.00_-;\-* #,##0.00_-;_-* &quot;-&quot;??_-;_-@_-"/>
    <numFmt numFmtId="167" formatCode="#,##0.00000000"/>
    <numFmt numFmtId="168" formatCode="#,##0.00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7" fontId="0" fillId="0" borderId="0" xfId="0" applyNumberFormat="1"/>
    <xf numFmtId="168" fontId="0" fillId="0" borderId="0" xfId="0" applyNumberFormat="1"/>
    <xf numFmtId="0" fontId="18" fillId="49" borderId="2" xfId="0" applyFont="1" applyFill="1" applyBorder="1" applyAlignment="1">
      <alignment horizontal="center" vertical="center"/>
    </xf>
    <xf numFmtId="0" fontId="18" fillId="49" borderId="2" xfId="0" applyFont="1" applyFill="1" applyBorder="1" applyAlignment="1">
      <alignment horizontal="center" vertical="justify"/>
    </xf>
    <xf numFmtId="164" fontId="4" fillId="0" borderId="0" xfId="0" applyNumberFormat="1" applyFont="1"/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waccache/1287bde0-4b0a-46b1-8caf-710029ccfe68/CARGOS%20POR%20MES%20A&#209;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P155">
            <v>3476385722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S186"/>
  <sheetViews>
    <sheetView view="pageBreakPreview" zoomScale="60" zoomScaleNormal="90" workbookViewId="0">
      <selection activeCell="M90" sqref="M90"/>
    </sheetView>
  </sheetViews>
  <sheetFormatPr defaultRowHeight="15"/>
  <cols>
    <col min="1" max="1" width="28.2851562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7" width="25.140625" customWidth="1"/>
    <col min="8" max="8" width="23.7109375" customWidth="1"/>
    <col min="9" max="9" width="25.5703125" customWidth="1"/>
    <col min="10" max="10" width="29.140625" customWidth="1"/>
    <col min="11" max="11" width="28.42578125" customWidth="1"/>
    <col min="12" max="13" width="31.140625" customWidth="1"/>
    <col min="14" max="14" width="16.5703125" hidden="1" customWidth="1"/>
    <col min="15" max="15" width="0.28515625" hidden="1" customWidth="1"/>
    <col min="16" max="16" width="0.140625" hidden="1" customWidth="1"/>
    <col min="17" max="17" width="25.85546875" customWidth="1"/>
    <col min="18" max="18" width="15.42578125" customWidth="1"/>
    <col min="19" max="19" width="27.140625" customWidth="1"/>
    <col min="20" max="256" width="11.42578125" customWidth="1"/>
  </cols>
  <sheetData>
    <row r="1" spans="1:19" s="103" customFormat="1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9" s="103" customFormat="1" ht="2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9" s="103" customFormat="1" ht="2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9" s="2" customFormat="1" ht="63.75" customHeight="1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106" t="s">
        <v>10</v>
      </c>
      <c r="I4" s="107" t="s">
        <v>11</v>
      </c>
      <c r="J4" s="49" t="s">
        <v>12</v>
      </c>
      <c r="K4" s="48" t="s">
        <v>13</v>
      </c>
      <c r="L4" s="48" t="s">
        <v>14</v>
      </c>
      <c r="M4" s="48" t="s">
        <v>15</v>
      </c>
      <c r="N4" s="48" t="s">
        <v>16</v>
      </c>
      <c r="O4" s="48" t="s">
        <v>17</v>
      </c>
      <c r="P4" s="48" t="s">
        <v>18</v>
      </c>
      <c r="Q4" s="49" t="s">
        <v>19</v>
      </c>
      <c r="R4" s="50" t="s">
        <v>20</v>
      </c>
    </row>
    <row r="5" spans="1:19" ht="20.25">
      <c r="A5" s="51" t="s">
        <v>21</v>
      </c>
      <c r="B5" s="52" t="s">
        <v>22</v>
      </c>
      <c r="C5" s="53">
        <v>101</v>
      </c>
      <c r="D5" s="54">
        <v>1563459000</v>
      </c>
      <c r="E5" s="54"/>
      <c r="F5" s="54"/>
      <c r="G5" s="54"/>
      <c r="H5" s="54"/>
      <c r="I5" s="54">
        <v>-84371750</v>
      </c>
      <c r="J5" s="54">
        <f>SUM(D5:I5)</f>
        <v>1479087250</v>
      </c>
      <c r="K5" s="54"/>
      <c r="L5" s="54">
        <v>595290020.83000004</v>
      </c>
      <c r="M5" s="54">
        <v>883797229.16999996</v>
      </c>
      <c r="N5" s="55">
        <v>447327911.33999997</v>
      </c>
      <c r="O5" s="56">
        <v>525641175.82999998</v>
      </c>
      <c r="P5" s="56">
        <v>892949824.16999996</v>
      </c>
      <c r="Q5" s="56">
        <f>+J5-K5-L5-M5</f>
        <v>0</v>
      </c>
      <c r="R5" s="57">
        <f>+M5/J5*100</f>
        <v>59.752879971752847</v>
      </c>
      <c r="S5" s="97"/>
    </row>
    <row r="6" spans="1:19" ht="20.25">
      <c r="A6" s="58"/>
      <c r="B6" s="52" t="s">
        <v>23</v>
      </c>
      <c r="C6" s="53">
        <v>105</v>
      </c>
      <c r="D6" s="54">
        <v>4000000</v>
      </c>
      <c r="E6" s="54"/>
      <c r="F6" s="54"/>
      <c r="G6" s="54"/>
      <c r="H6" s="54"/>
      <c r="I6" s="54"/>
      <c r="J6" s="54">
        <f t="shared" ref="J6:J19" si="0">SUM(D6:I6)</f>
        <v>4000000</v>
      </c>
      <c r="K6" s="54"/>
      <c r="L6" s="54">
        <v>0</v>
      </c>
      <c r="M6" s="54">
        <v>0</v>
      </c>
      <c r="N6" s="55" t="s">
        <v>24</v>
      </c>
      <c r="O6" s="56">
        <v>154823.21</v>
      </c>
      <c r="P6" s="56">
        <v>14845176.789999999</v>
      </c>
      <c r="Q6" s="56">
        <f t="shared" ref="Q6:Q19" si="1">+J6-K6-L6-M6</f>
        <v>4000000</v>
      </c>
      <c r="R6" s="57">
        <f t="shared" ref="R6:R19" si="2">+M6/J6*100</f>
        <v>0</v>
      </c>
      <c r="S6" s="98"/>
    </row>
    <row r="7" spans="1:19" ht="20.25">
      <c r="A7" s="58"/>
      <c r="B7" s="52" t="s">
        <v>25</v>
      </c>
      <c r="C7" s="53">
        <v>201</v>
      </c>
      <c r="D7" s="54">
        <v>12000000</v>
      </c>
      <c r="E7" s="54"/>
      <c r="F7" s="54"/>
      <c r="G7" s="54"/>
      <c r="H7" s="54"/>
      <c r="I7" s="54"/>
      <c r="J7" s="54">
        <f t="shared" si="0"/>
        <v>12000000</v>
      </c>
      <c r="K7" s="54"/>
      <c r="L7" s="54">
        <v>3551967.46</v>
      </c>
      <c r="M7" s="54">
        <v>8448032.5399999991</v>
      </c>
      <c r="N7" s="55">
        <v>3939631.01</v>
      </c>
      <c r="O7" s="56">
        <v>3174728.97</v>
      </c>
      <c r="P7" s="56">
        <v>6825271.0300000003</v>
      </c>
      <c r="Q7" s="56">
        <f t="shared" si="1"/>
        <v>0</v>
      </c>
      <c r="R7" s="57">
        <f t="shared" si="2"/>
        <v>70.400271166666656</v>
      </c>
      <c r="S7" s="97"/>
    </row>
    <row r="8" spans="1:19" ht="20.25">
      <c r="A8" s="58"/>
      <c r="B8" s="52" t="s">
        <v>26</v>
      </c>
      <c r="C8" s="53">
        <v>202</v>
      </c>
      <c r="D8" s="54">
        <v>1000000</v>
      </c>
      <c r="E8" s="54"/>
      <c r="F8" s="54"/>
      <c r="G8" s="54"/>
      <c r="H8" s="54"/>
      <c r="I8" s="54"/>
      <c r="J8" s="54">
        <f t="shared" si="0"/>
        <v>1000000</v>
      </c>
      <c r="K8" s="54"/>
      <c r="L8" s="54">
        <v>0</v>
      </c>
      <c r="M8" s="54">
        <v>0</v>
      </c>
      <c r="N8" s="55" t="s">
        <v>24</v>
      </c>
      <c r="O8" s="56">
        <v>0</v>
      </c>
      <c r="P8" s="56">
        <v>0</v>
      </c>
      <c r="Q8" s="56">
        <f t="shared" si="1"/>
        <v>1000000</v>
      </c>
      <c r="R8" s="57">
        <f t="shared" si="2"/>
        <v>0</v>
      </c>
      <c r="S8" s="99"/>
    </row>
    <row r="9" spans="1:19" ht="20.25">
      <c r="A9" s="58"/>
      <c r="B9" s="52" t="s">
        <v>27</v>
      </c>
      <c r="C9" s="53">
        <v>301</v>
      </c>
      <c r="D9" s="54">
        <v>1047200000</v>
      </c>
      <c r="E9" s="54"/>
      <c r="F9" s="54">
        <v>-15000000</v>
      </c>
      <c r="G9" s="54"/>
      <c r="H9" s="54">
        <v>-5000000</v>
      </c>
      <c r="I9" s="54">
        <v>-11550000</v>
      </c>
      <c r="J9" s="54">
        <f>SUM(D9:I9)</f>
        <v>1015650000</v>
      </c>
      <c r="K9" s="54"/>
      <c r="L9" s="54">
        <v>414713573.64999998</v>
      </c>
      <c r="M9" s="54">
        <v>600936426.35000002</v>
      </c>
      <c r="N9" s="55">
        <v>283723982.18000001</v>
      </c>
      <c r="O9" s="56">
        <v>358389541.80000001</v>
      </c>
      <c r="P9" s="56">
        <v>515216458.19999999</v>
      </c>
      <c r="Q9" s="56">
        <f t="shared" si="1"/>
        <v>0</v>
      </c>
      <c r="R9" s="57">
        <f t="shared" si="2"/>
        <v>59.167668621080097</v>
      </c>
      <c r="S9" s="97"/>
    </row>
    <row r="10" spans="1:19" ht="20.25">
      <c r="A10" s="58"/>
      <c r="B10" s="52" t="s">
        <v>28</v>
      </c>
      <c r="C10" s="53">
        <v>302</v>
      </c>
      <c r="D10" s="54">
        <v>852000000</v>
      </c>
      <c r="E10" s="54"/>
      <c r="F10" s="54">
        <v>-20000000</v>
      </c>
      <c r="G10" s="54">
        <v>-5000000</v>
      </c>
      <c r="H10" s="54">
        <v>-4000000</v>
      </c>
      <c r="I10" s="54">
        <v>-8520000</v>
      </c>
      <c r="J10" s="54">
        <f t="shared" si="0"/>
        <v>814480000</v>
      </c>
      <c r="K10" s="54"/>
      <c r="L10" s="54">
        <v>325073354.92000002</v>
      </c>
      <c r="M10" s="54">
        <v>477196533.07999998</v>
      </c>
      <c r="N10" s="55">
        <v>240254033.15000001</v>
      </c>
      <c r="O10" s="56">
        <v>290110408.31999999</v>
      </c>
      <c r="P10" s="56">
        <v>470425591.68000001</v>
      </c>
      <c r="Q10" s="56">
        <f t="shared" si="1"/>
        <v>12210112</v>
      </c>
      <c r="R10" s="57">
        <f t="shared" si="2"/>
        <v>58.5891038552205</v>
      </c>
      <c r="S10" s="97"/>
    </row>
    <row r="11" spans="1:19" ht="20.25">
      <c r="A11" s="58"/>
      <c r="B11" s="52" t="s">
        <v>29</v>
      </c>
      <c r="C11" s="53">
        <v>303</v>
      </c>
      <c r="D11" s="54">
        <v>346000000</v>
      </c>
      <c r="E11" s="54"/>
      <c r="F11" s="54"/>
      <c r="G11" s="54"/>
      <c r="H11" s="54"/>
      <c r="I11" s="54">
        <v>-16880000</v>
      </c>
      <c r="J11" s="54">
        <f t="shared" si="0"/>
        <v>329120000</v>
      </c>
      <c r="K11" s="54"/>
      <c r="L11" s="54">
        <v>0</v>
      </c>
      <c r="M11" s="54">
        <v>0</v>
      </c>
      <c r="N11" s="55">
        <v>323331.03000000003</v>
      </c>
      <c r="O11" s="56">
        <v>0</v>
      </c>
      <c r="P11" s="56">
        <v>0</v>
      </c>
      <c r="Q11" s="56">
        <f t="shared" si="1"/>
        <v>329120000</v>
      </c>
      <c r="R11" s="57">
        <f t="shared" si="2"/>
        <v>0</v>
      </c>
      <c r="S11" s="99"/>
    </row>
    <row r="12" spans="1:19" ht="20.25">
      <c r="A12" s="58"/>
      <c r="B12" s="52" t="s">
        <v>30</v>
      </c>
      <c r="C12" s="53">
        <v>304</v>
      </c>
      <c r="D12" s="54">
        <v>280100000</v>
      </c>
      <c r="E12" s="54"/>
      <c r="F12" s="54">
        <v>-4584047.29</v>
      </c>
      <c r="G12" s="54"/>
      <c r="H12" s="54"/>
      <c r="I12" s="54"/>
      <c r="J12" s="54">
        <f t="shared" si="0"/>
        <v>275515952.70999998</v>
      </c>
      <c r="K12" s="54"/>
      <c r="L12" s="54">
        <v>0</v>
      </c>
      <c r="M12" s="54">
        <v>275515952.70999998</v>
      </c>
      <c r="N12" s="55">
        <v>272023813.06999999</v>
      </c>
      <c r="O12" s="56">
        <v>0</v>
      </c>
      <c r="P12" s="56">
        <v>247830942</v>
      </c>
      <c r="Q12" s="56">
        <f t="shared" si="1"/>
        <v>0</v>
      </c>
      <c r="R12" s="57">
        <f t="shared" si="2"/>
        <v>100</v>
      </c>
      <c r="S12" s="99"/>
    </row>
    <row r="13" spans="1:19" ht="20.25">
      <c r="A13" s="58"/>
      <c r="B13" s="52" t="s">
        <v>31</v>
      </c>
      <c r="C13" s="53">
        <v>399</v>
      </c>
      <c r="D13" s="54">
        <v>444520000</v>
      </c>
      <c r="E13" s="54"/>
      <c r="F13" s="54"/>
      <c r="G13" s="54"/>
      <c r="H13" s="54"/>
      <c r="I13" s="54">
        <v>-18210000</v>
      </c>
      <c r="J13" s="54">
        <f t="shared" si="0"/>
        <v>426310000</v>
      </c>
      <c r="K13" s="54"/>
      <c r="L13" s="54">
        <v>177563283.08000001</v>
      </c>
      <c r="M13" s="54">
        <v>248746716.91999999</v>
      </c>
      <c r="N13" s="55">
        <v>122051409.7</v>
      </c>
      <c r="O13" s="56">
        <v>171121518.99000001</v>
      </c>
      <c r="P13" s="56">
        <v>230897481.00999999</v>
      </c>
      <c r="Q13" s="56">
        <f t="shared" si="1"/>
        <v>0</v>
      </c>
      <c r="R13" s="57">
        <f t="shared" si="2"/>
        <v>58.348787717857896</v>
      </c>
      <c r="S13" s="97"/>
    </row>
    <row r="14" spans="1:19" ht="20.25">
      <c r="A14" s="58"/>
      <c r="B14" s="52" t="s">
        <v>32</v>
      </c>
      <c r="C14" s="53">
        <v>401</v>
      </c>
      <c r="D14" s="54">
        <v>388896000</v>
      </c>
      <c r="E14" s="54"/>
      <c r="F14" s="54"/>
      <c r="G14" s="54"/>
      <c r="H14" s="54"/>
      <c r="I14" s="54">
        <v>-11345286</v>
      </c>
      <c r="J14" s="54">
        <f t="shared" si="0"/>
        <v>377550714</v>
      </c>
      <c r="K14" s="54"/>
      <c r="L14" s="54">
        <v>146917965.12</v>
      </c>
      <c r="M14" s="54">
        <v>230632748</v>
      </c>
      <c r="N14" s="55">
        <v>126391998</v>
      </c>
      <c r="O14" s="56">
        <v>152512390</v>
      </c>
      <c r="P14" s="56">
        <v>194950610</v>
      </c>
      <c r="Q14" s="56">
        <f t="shared" si="1"/>
        <v>0.87999999523162842</v>
      </c>
      <c r="R14" s="57">
        <f t="shared" si="2"/>
        <v>61.086561208304325</v>
      </c>
      <c r="S14" s="97"/>
    </row>
    <row r="15" spans="1:19" ht="20.25">
      <c r="A15" s="58"/>
      <c r="B15" s="52" t="s">
        <v>33</v>
      </c>
      <c r="C15" s="53">
        <v>405</v>
      </c>
      <c r="D15" s="54">
        <v>21021000</v>
      </c>
      <c r="E15" s="54"/>
      <c r="F15" s="54"/>
      <c r="G15" s="54"/>
      <c r="H15" s="54"/>
      <c r="I15" s="54">
        <v>-613258</v>
      </c>
      <c r="J15" s="54">
        <f t="shared" si="0"/>
        <v>20407742</v>
      </c>
      <c r="K15" s="54"/>
      <c r="L15" s="54">
        <v>7941118.25</v>
      </c>
      <c r="M15" s="54">
        <v>12466623</v>
      </c>
      <c r="N15" s="55">
        <v>6832011</v>
      </c>
      <c r="O15" s="56">
        <v>8244096</v>
      </c>
      <c r="P15" s="56">
        <v>10537904</v>
      </c>
      <c r="Q15" s="56">
        <f t="shared" si="1"/>
        <v>0.75</v>
      </c>
      <c r="R15" s="57">
        <f t="shared" si="2"/>
        <v>61.087713672585629</v>
      </c>
      <c r="S15" s="97"/>
    </row>
    <row r="16" spans="1:19" ht="20.25">
      <c r="A16" s="58"/>
      <c r="B16" s="52" t="s">
        <v>34</v>
      </c>
      <c r="C16" s="53">
        <v>501</v>
      </c>
      <c r="D16" s="54">
        <v>213577000</v>
      </c>
      <c r="E16" s="54"/>
      <c r="F16" s="54"/>
      <c r="G16" s="54"/>
      <c r="H16" s="54"/>
      <c r="I16" s="54">
        <v>-6230708</v>
      </c>
      <c r="J16" s="54">
        <f t="shared" si="0"/>
        <v>207346292</v>
      </c>
      <c r="K16" s="54"/>
      <c r="L16" s="54">
        <v>81836655.099999994</v>
      </c>
      <c r="M16" s="54">
        <v>125509636</v>
      </c>
      <c r="N16" s="55">
        <v>68801371</v>
      </c>
      <c r="O16" s="56">
        <v>85189199</v>
      </c>
      <c r="P16" s="56">
        <v>105633801</v>
      </c>
      <c r="Q16" s="56">
        <f t="shared" si="1"/>
        <v>0.90000000596046448</v>
      </c>
      <c r="R16" s="57">
        <f t="shared" si="2"/>
        <v>60.531410901719909</v>
      </c>
      <c r="S16" s="97"/>
    </row>
    <row r="17" spans="1:19" ht="20.25">
      <c r="A17" s="58"/>
      <c r="B17" s="52" t="s">
        <v>35</v>
      </c>
      <c r="C17" s="53">
        <v>502</v>
      </c>
      <c r="D17" s="54">
        <v>63064000</v>
      </c>
      <c r="E17" s="54"/>
      <c r="F17" s="54"/>
      <c r="G17" s="54"/>
      <c r="H17" s="54"/>
      <c r="I17" s="54">
        <v>-1839776</v>
      </c>
      <c r="J17" s="54">
        <f t="shared" si="0"/>
        <v>61224224</v>
      </c>
      <c r="K17" s="54"/>
      <c r="L17" s="54">
        <v>23824323.75</v>
      </c>
      <c r="M17" s="54">
        <v>37399900</v>
      </c>
      <c r="N17" s="55">
        <v>20496006</v>
      </c>
      <c r="O17" s="56">
        <v>24731024</v>
      </c>
      <c r="P17" s="56">
        <v>31613976</v>
      </c>
      <c r="Q17" s="56">
        <f t="shared" si="1"/>
        <v>0.25</v>
      </c>
      <c r="R17" s="57">
        <f t="shared" si="2"/>
        <v>61.086768531357784</v>
      </c>
      <c r="S17" s="97"/>
    </row>
    <row r="18" spans="1:19" ht="20.25">
      <c r="A18" s="58"/>
      <c r="B18" s="52" t="s">
        <v>36</v>
      </c>
      <c r="C18" s="53">
        <v>503</v>
      </c>
      <c r="D18" s="54">
        <v>126128000</v>
      </c>
      <c r="E18" s="54"/>
      <c r="F18" s="54"/>
      <c r="G18" s="54"/>
      <c r="H18" s="54"/>
      <c r="I18" s="54">
        <v>-3679552</v>
      </c>
      <c r="J18" s="54">
        <f t="shared" si="0"/>
        <v>122448448</v>
      </c>
      <c r="K18" s="54"/>
      <c r="L18" s="54">
        <v>47648624.5</v>
      </c>
      <c r="M18" s="54">
        <v>74799823</v>
      </c>
      <c r="N18" s="55">
        <v>40991992</v>
      </c>
      <c r="O18" s="56">
        <v>49462103</v>
      </c>
      <c r="P18" s="56">
        <v>63227897</v>
      </c>
      <c r="Q18" s="56">
        <f t="shared" si="1"/>
        <v>0.5</v>
      </c>
      <c r="R18" s="57">
        <f t="shared" si="2"/>
        <v>61.086787314772664</v>
      </c>
      <c r="S18" s="99"/>
    </row>
    <row r="19" spans="1:19" ht="20.25">
      <c r="A19" s="59"/>
      <c r="B19" s="52" t="s">
        <v>37</v>
      </c>
      <c r="C19" s="53">
        <v>505</v>
      </c>
      <c r="D19" s="54">
        <v>130000000</v>
      </c>
      <c r="E19" s="54"/>
      <c r="F19" s="54">
        <v>10000000</v>
      </c>
      <c r="G19" s="54"/>
      <c r="H19" s="54"/>
      <c r="I19" s="54"/>
      <c r="J19" s="54">
        <f t="shared" si="0"/>
        <v>140000000</v>
      </c>
      <c r="K19" s="54"/>
      <c r="L19" s="54">
        <v>33088859.73</v>
      </c>
      <c r="M19" s="54">
        <v>96911140.269999996</v>
      </c>
      <c r="N19" s="55">
        <v>47608924.520000003</v>
      </c>
      <c r="O19" s="56">
        <v>39772271.259999998</v>
      </c>
      <c r="P19" s="56">
        <v>69527728.739999995</v>
      </c>
      <c r="Q19" s="56">
        <f t="shared" si="1"/>
        <v>10000000</v>
      </c>
      <c r="R19" s="57">
        <f t="shared" si="2"/>
        <v>69.222243050000003</v>
      </c>
      <c r="S19" s="97"/>
    </row>
    <row r="20" spans="1:19" ht="20.25">
      <c r="A20" s="58"/>
      <c r="B20" s="60" t="s">
        <v>38</v>
      </c>
      <c r="C20" s="61"/>
      <c r="D20" s="62">
        <f t="shared" ref="D20:J20" si="3">SUM(D5:D19)</f>
        <v>5492965000</v>
      </c>
      <c r="E20" s="62">
        <f t="shared" si="3"/>
        <v>0</v>
      </c>
      <c r="F20" s="62">
        <f t="shared" si="3"/>
        <v>-29584047.289999999</v>
      </c>
      <c r="G20" s="62">
        <f t="shared" si="3"/>
        <v>-5000000</v>
      </c>
      <c r="H20" s="62">
        <f t="shared" si="3"/>
        <v>-9000000</v>
      </c>
      <c r="I20" s="62">
        <f t="shared" si="3"/>
        <v>-163240330</v>
      </c>
      <c r="J20" s="62">
        <f t="shared" si="3"/>
        <v>5286140622.71</v>
      </c>
      <c r="K20" s="62">
        <f t="shared" ref="K20:Q20" si="4">SUM(K5:K19)</f>
        <v>0</v>
      </c>
      <c r="L20" s="62">
        <f t="shared" si="4"/>
        <v>1857449746.3899999</v>
      </c>
      <c r="M20" s="62">
        <f t="shared" si="4"/>
        <v>3072360761.04</v>
      </c>
      <c r="N20" s="62">
        <f t="shared" si="4"/>
        <v>1680766414</v>
      </c>
      <c r="O20" s="62">
        <f t="shared" si="4"/>
        <v>1708503280.3799999</v>
      </c>
      <c r="P20" s="62">
        <f t="shared" si="4"/>
        <v>2854482661.6199999</v>
      </c>
      <c r="Q20" s="62">
        <f t="shared" si="4"/>
        <v>356330115.27999997</v>
      </c>
      <c r="R20" s="63">
        <f>+M20/J20*100</f>
        <v>58.121056179260691</v>
      </c>
      <c r="S20" s="99"/>
    </row>
    <row r="21" spans="1:19" ht="20.25">
      <c r="A21" s="64" t="s">
        <v>39</v>
      </c>
      <c r="B21" s="52" t="s">
        <v>40</v>
      </c>
      <c r="C21" s="53">
        <v>10101</v>
      </c>
      <c r="D21" s="54">
        <v>62350000</v>
      </c>
      <c r="E21" s="54"/>
      <c r="F21" s="54">
        <v>-10500000</v>
      </c>
      <c r="G21" s="54"/>
      <c r="H21" s="54">
        <v>-11450000</v>
      </c>
      <c r="I21" s="54"/>
      <c r="J21" s="54">
        <f>SUM(D21:I21)</f>
        <v>40400000</v>
      </c>
      <c r="K21" s="54">
        <v>150000</v>
      </c>
      <c r="L21" s="54">
        <v>16555325.6</v>
      </c>
      <c r="M21" s="54">
        <v>22490553</v>
      </c>
      <c r="N21" s="55">
        <f t="shared" ref="N21:N37" si="5">+J21-K21-L21-M21</f>
        <v>1204121.3999999985</v>
      </c>
      <c r="O21" s="56">
        <v>14057000</v>
      </c>
      <c r="P21" s="56">
        <v>2441450</v>
      </c>
      <c r="Q21" s="56">
        <f>+J21-K21-L21-M21</f>
        <v>1204121.3999999985</v>
      </c>
      <c r="R21" s="57">
        <f>+M21/J21*100</f>
        <v>55.669685643564357</v>
      </c>
      <c r="S21" s="97"/>
    </row>
    <row r="22" spans="1:19" ht="20.25">
      <c r="A22" s="65"/>
      <c r="B22" s="52" t="s">
        <v>41</v>
      </c>
      <c r="C22" s="53">
        <v>10104</v>
      </c>
      <c r="D22" s="54">
        <v>500000</v>
      </c>
      <c r="E22" s="54"/>
      <c r="F22" s="54"/>
      <c r="G22" s="54"/>
      <c r="H22" s="54"/>
      <c r="I22" s="54"/>
      <c r="J22" s="54">
        <f t="shared" ref="J22:J57" si="6">SUM(D22:I22)</f>
        <v>500000</v>
      </c>
      <c r="K22" s="54">
        <v>0</v>
      </c>
      <c r="L22" s="54">
        <v>0</v>
      </c>
      <c r="M22" s="54">
        <v>0</v>
      </c>
      <c r="N22" s="55">
        <f t="shared" si="5"/>
        <v>500000</v>
      </c>
      <c r="O22" s="56">
        <v>1389000</v>
      </c>
      <c r="P22" s="56">
        <v>1389000</v>
      </c>
      <c r="Q22" s="56">
        <f t="shared" ref="Q22:Q58" si="7">+J22-K22-L22-M22</f>
        <v>500000</v>
      </c>
      <c r="R22" s="57">
        <v>0</v>
      </c>
      <c r="S22" s="99"/>
    </row>
    <row r="23" spans="1:19" ht="20.25">
      <c r="A23" s="65"/>
      <c r="B23" s="52" t="s">
        <v>42</v>
      </c>
      <c r="C23" s="53">
        <v>10199</v>
      </c>
      <c r="D23" s="54">
        <v>100000</v>
      </c>
      <c r="E23" s="54"/>
      <c r="F23" s="54"/>
      <c r="G23" s="54"/>
      <c r="H23" s="54"/>
      <c r="I23" s="54"/>
      <c r="J23" s="54">
        <f t="shared" si="6"/>
        <v>100000</v>
      </c>
      <c r="K23" s="54">
        <v>0</v>
      </c>
      <c r="L23" s="54">
        <v>0</v>
      </c>
      <c r="M23" s="54">
        <v>0</v>
      </c>
      <c r="N23" s="55">
        <f t="shared" si="5"/>
        <v>100000</v>
      </c>
      <c r="O23" s="56">
        <v>1500000</v>
      </c>
      <c r="P23" s="56">
        <v>1042107.9</v>
      </c>
      <c r="Q23" s="56">
        <f t="shared" si="7"/>
        <v>100000</v>
      </c>
      <c r="R23" s="57">
        <f t="shared" ref="R23:R29" si="8">+M23/J23*100</f>
        <v>0</v>
      </c>
      <c r="S23" s="97"/>
    </row>
    <row r="24" spans="1:19" ht="20.25">
      <c r="A24" s="65"/>
      <c r="B24" s="52" t="s">
        <v>43</v>
      </c>
      <c r="C24" s="53">
        <v>10201</v>
      </c>
      <c r="D24" s="54">
        <v>20500000</v>
      </c>
      <c r="E24" s="54"/>
      <c r="F24" s="54"/>
      <c r="G24" s="54">
        <v>5000000</v>
      </c>
      <c r="H24" s="54"/>
      <c r="I24" s="54"/>
      <c r="J24" s="54">
        <f t="shared" si="6"/>
        <v>25500000</v>
      </c>
      <c r="K24" s="54">
        <v>0</v>
      </c>
      <c r="L24" s="54">
        <v>4356613</v>
      </c>
      <c r="M24" s="54">
        <v>21143387</v>
      </c>
      <c r="N24" s="55">
        <f t="shared" si="5"/>
        <v>0</v>
      </c>
      <c r="O24" s="56">
        <v>8587000</v>
      </c>
      <c r="P24" s="56">
        <v>0</v>
      </c>
      <c r="Q24" s="56">
        <f t="shared" si="7"/>
        <v>0</v>
      </c>
      <c r="R24" s="57">
        <f t="shared" si="8"/>
        <v>82.915243137254905</v>
      </c>
      <c r="S24" s="97"/>
    </row>
    <row r="25" spans="1:19" ht="20.25">
      <c r="A25" s="65"/>
      <c r="B25" s="52" t="s">
        <v>44</v>
      </c>
      <c r="C25" s="53">
        <v>10202</v>
      </c>
      <c r="D25" s="54">
        <v>28049000</v>
      </c>
      <c r="E25" s="54"/>
      <c r="F25" s="54"/>
      <c r="G25" s="54"/>
      <c r="H25" s="54"/>
      <c r="I25" s="54"/>
      <c r="J25" s="54">
        <f t="shared" si="6"/>
        <v>28049000</v>
      </c>
      <c r="K25" s="54">
        <v>0</v>
      </c>
      <c r="L25" s="54">
        <v>12207912.359999999</v>
      </c>
      <c r="M25" s="54">
        <v>15841087.640000001</v>
      </c>
      <c r="N25" s="55">
        <f t="shared" si="5"/>
        <v>0</v>
      </c>
      <c r="O25" s="56">
        <v>12507000</v>
      </c>
      <c r="P25" s="56">
        <v>0</v>
      </c>
      <c r="Q25" s="56">
        <f t="shared" si="7"/>
        <v>0</v>
      </c>
      <c r="R25" s="57">
        <f t="shared" si="8"/>
        <v>56.476479161467431</v>
      </c>
      <c r="S25" s="97"/>
    </row>
    <row r="26" spans="1:19" ht="20.25">
      <c r="A26" s="65"/>
      <c r="B26" s="52" t="s">
        <v>45</v>
      </c>
      <c r="C26" s="53">
        <v>10203</v>
      </c>
      <c r="D26" s="54">
        <v>9500000</v>
      </c>
      <c r="E26" s="54"/>
      <c r="F26" s="54"/>
      <c r="G26" s="54"/>
      <c r="H26" s="54"/>
      <c r="I26" s="54"/>
      <c r="J26" s="54">
        <f t="shared" si="6"/>
        <v>9500000</v>
      </c>
      <c r="K26" s="54">
        <v>0</v>
      </c>
      <c r="L26" s="54">
        <v>5441660</v>
      </c>
      <c r="M26" s="54">
        <v>3958340</v>
      </c>
      <c r="N26" s="55">
        <f t="shared" si="5"/>
        <v>100000</v>
      </c>
      <c r="O26" s="56">
        <v>3820000</v>
      </c>
      <c r="P26" s="56">
        <v>570000</v>
      </c>
      <c r="Q26" s="56">
        <f t="shared" si="7"/>
        <v>100000</v>
      </c>
      <c r="R26" s="57">
        <f t="shared" si="8"/>
        <v>41.666736842105259</v>
      </c>
      <c r="S26" s="97"/>
    </row>
    <row r="27" spans="1:19" ht="20.25">
      <c r="A27" s="65"/>
      <c r="B27" s="52" t="s">
        <v>46</v>
      </c>
      <c r="C27" s="53">
        <v>10204</v>
      </c>
      <c r="D27" s="54">
        <v>54500000</v>
      </c>
      <c r="E27" s="54"/>
      <c r="F27" s="54"/>
      <c r="G27" s="54"/>
      <c r="H27" s="54"/>
      <c r="I27" s="54"/>
      <c r="J27" s="54">
        <f t="shared" si="6"/>
        <v>54500000</v>
      </c>
      <c r="K27" s="54">
        <v>9509984.4000000004</v>
      </c>
      <c r="L27" s="54">
        <v>12211625.02</v>
      </c>
      <c r="M27" s="54">
        <v>31577945.050000001</v>
      </c>
      <c r="N27" s="55">
        <f t="shared" si="5"/>
        <v>1200445.5300000012</v>
      </c>
      <c r="O27" s="56">
        <v>16962000</v>
      </c>
      <c r="P27" s="56">
        <v>0</v>
      </c>
      <c r="Q27" s="56">
        <f t="shared" si="7"/>
        <v>1200445.5300000012</v>
      </c>
      <c r="R27" s="57">
        <f t="shared" si="8"/>
        <v>57.941183577981647</v>
      </c>
      <c r="S27" s="99"/>
    </row>
    <row r="28" spans="1:19" ht="20.25">
      <c r="A28" s="65"/>
      <c r="B28" s="52" t="s">
        <v>47</v>
      </c>
      <c r="C28" s="53">
        <v>10299</v>
      </c>
      <c r="D28" s="54">
        <v>1500000</v>
      </c>
      <c r="E28" s="54"/>
      <c r="F28" s="54"/>
      <c r="G28" s="54">
        <v>400000</v>
      </c>
      <c r="H28" s="54"/>
      <c r="I28" s="54"/>
      <c r="J28" s="54">
        <f t="shared" si="6"/>
        <v>1900000</v>
      </c>
      <c r="K28" s="54">
        <v>0</v>
      </c>
      <c r="L28" s="54">
        <v>575662.80000000005</v>
      </c>
      <c r="M28" s="54">
        <v>924337.2</v>
      </c>
      <c r="N28" s="55">
        <f t="shared" si="5"/>
        <v>400000</v>
      </c>
      <c r="O28" s="56">
        <v>640000</v>
      </c>
      <c r="P28" s="56">
        <v>0</v>
      </c>
      <c r="Q28" s="56">
        <f t="shared" si="7"/>
        <v>400000</v>
      </c>
      <c r="R28" s="57">
        <f t="shared" si="8"/>
        <v>48.649326315789473</v>
      </c>
      <c r="S28" s="99"/>
    </row>
    <row r="29" spans="1:19" ht="20.25">
      <c r="A29" s="65"/>
      <c r="B29" s="52" t="s">
        <v>48</v>
      </c>
      <c r="C29" s="53">
        <v>10301</v>
      </c>
      <c r="D29" s="54">
        <v>6000000</v>
      </c>
      <c r="E29" s="54"/>
      <c r="F29" s="54">
        <v>-500000</v>
      </c>
      <c r="G29" s="54"/>
      <c r="H29" s="54"/>
      <c r="I29" s="54"/>
      <c r="J29" s="54">
        <f t="shared" si="6"/>
        <v>5500000</v>
      </c>
      <c r="K29" s="54">
        <v>75000</v>
      </c>
      <c r="L29" s="54">
        <v>1827520</v>
      </c>
      <c r="M29" s="54">
        <v>2172480</v>
      </c>
      <c r="N29" s="55">
        <f t="shared" si="5"/>
        <v>1425000</v>
      </c>
      <c r="O29" s="56">
        <v>1000000</v>
      </c>
      <c r="P29" s="56">
        <v>0</v>
      </c>
      <c r="Q29" s="56">
        <f t="shared" si="7"/>
        <v>1425000</v>
      </c>
      <c r="R29" s="57">
        <f t="shared" si="8"/>
        <v>39.499636363636363</v>
      </c>
      <c r="S29" s="99"/>
    </row>
    <row r="30" spans="1:19" ht="20.25">
      <c r="A30" s="65"/>
      <c r="B30" s="52" t="s">
        <v>49</v>
      </c>
      <c r="C30" s="53">
        <v>10302</v>
      </c>
      <c r="D30" s="54">
        <v>0</v>
      </c>
      <c r="E30" s="54"/>
      <c r="F30" s="54"/>
      <c r="G30" s="54"/>
      <c r="H30" s="54"/>
      <c r="I30" s="54"/>
      <c r="J30" s="54">
        <f t="shared" si="6"/>
        <v>0</v>
      </c>
      <c r="K30" s="54">
        <v>0</v>
      </c>
      <c r="L30" s="54">
        <v>0</v>
      </c>
      <c r="M30" s="54">
        <v>0</v>
      </c>
      <c r="N30" s="55">
        <f t="shared" si="5"/>
        <v>0</v>
      </c>
      <c r="O30" s="56"/>
      <c r="P30" s="56"/>
      <c r="Q30" s="56">
        <f t="shared" si="7"/>
        <v>0</v>
      </c>
      <c r="R30" s="57">
        <v>0</v>
      </c>
      <c r="S30" s="99"/>
    </row>
    <row r="31" spans="1:19" ht="20.25">
      <c r="A31" s="65"/>
      <c r="B31" s="52" t="s">
        <v>50</v>
      </c>
      <c r="C31" s="53">
        <v>10303</v>
      </c>
      <c r="D31" s="54">
        <v>4000000</v>
      </c>
      <c r="E31" s="54"/>
      <c r="F31" s="54"/>
      <c r="G31" s="54"/>
      <c r="H31" s="54"/>
      <c r="I31" s="54"/>
      <c r="J31" s="54">
        <f t="shared" si="6"/>
        <v>4000000</v>
      </c>
      <c r="K31" s="54">
        <v>400000</v>
      </c>
      <c r="L31" s="54">
        <v>40776</v>
      </c>
      <c r="M31" s="54">
        <v>507750.72</v>
      </c>
      <c r="N31" s="55">
        <f t="shared" si="5"/>
        <v>3051473.2800000003</v>
      </c>
      <c r="O31" s="56">
        <v>5000000</v>
      </c>
      <c r="P31" s="56">
        <v>4700000</v>
      </c>
      <c r="Q31" s="56">
        <f t="shared" si="7"/>
        <v>3051473.2800000003</v>
      </c>
      <c r="R31" s="57">
        <f>+M31/J31*100</f>
        <v>12.693768</v>
      </c>
      <c r="S31" s="99"/>
    </row>
    <row r="32" spans="1:19" ht="20.25">
      <c r="A32" s="65"/>
      <c r="B32" s="52" t="s">
        <v>51</v>
      </c>
      <c r="C32" s="53">
        <v>10304</v>
      </c>
      <c r="D32" s="54">
        <v>250000</v>
      </c>
      <c r="E32" s="54"/>
      <c r="F32" s="54">
        <v>500000</v>
      </c>
      <c r="G32" s="54"/>
      <c r="H32" s="54"/>
      <c r="I32" s="54"/>
      <c r="J32" s="54">
        <f t="shared" si="6"/>
        <v>750000</v>
      </c>
      <c r="K32" s="54">
        <v>0</v>
      </c>
      <c r="L32" s="54">
        <v>2400</v>
      </c>
      <c r="M32" s="54">
        <v>82600</v>
      </c>
      <c r="N32" s="55">
        <f t="shared" si="5"/>
        <v>665000</v>
      </c>
      <c r="O32" s="56">
        <v>71600</v>
      </c>
      <c r="P32" s="56">
        <v>0</v>
      </c>
      <c r="Q32" s="56">
        <f t="shared" si="7"/>
        <v>665000</v>
      </c>
      <c r="R32" s="57">
        <f>+M32/J32*100</f>
        <v>11.013333333333334</v>
      </c>
      <c r="S32" s="97"/>
    </row>
    <row r="33" spans="1:19" ht="20.25">
      <c r="A33" s="65"/>
      <c r="B33" s="52" t="s">
        <v>52</v>
      </c>
      <c r="C33" s="53">
        <v>10306</v>
      </c>
      <c r="D33" s="54">
        <v>2000000</v>
      </c>
      <c r="E33" s="54"/>
      <c r="F33" s="54"/>
      <c r="G33" s="54">
        <v>1500000</v>
      </c>
      <c r="H33" s="54"/>
      <c r="I33" s="54"/>
      <c r="J33" s="54">
        <f t="shared" si="6"/>
        <v>3500000</v>
      </c>
      <c r="K33" s="54">
        <v>0</v>
      </c>
      <c r="L33" s="54">
        <v>617464.1</v>
      </c>
      <c r="M33" s="54">
        <v>2206424.25</v>
      </c>
      <c r="N33" s="55">
        <f t="shared" si="5"/>
        <v>676111.64999999991</v>
      </c>
      <c r="O33" s="56">
        <v>87000</v>
      </c>
      <c r="P33" s="56">
        <v>87000</v>
      </c>
      <c r="Q33" s="56">
        <f t="shared" si="7"/>
        <v>676111.64999999991</v>
      </c>
      <c r="R33" s="57">
        <f>+M33/J33*100</f>
        <v>63.040692857142858</v>
      </c>
      <c r="S33" s="97"/>
    </row>
    <row r="34" spans="1:19" ht="36">
      <c r="A34" s="65"/>
      <c r="B34" s="52" t="s">
        <v>53</v>
      </c>
      <c r="C34" s="53">
        <v>10307</v>
      </c>
      <c r="D34" s="54">
        <v>18500000</v>
      </c>
      <c r="E34" s="54"/>
      <c r="F34" s="54"/>
      <c r="G34" s="54"/>
      <c r="H34" s="54">
        <v>2000000</v>
      </c>
      <c r="I34" s="54"/>
      <c r="J34" s="54">
        <f t="shared" si="6"/>
        <v>20500000</v>
      </c>
      <c r="K34" s="54">
        <v>12000000</v>
      </c>
      <c r="L34" s="54">
        <v>1516349.36</v>
      </c>
      <c r="M34" s="54">
        <v>6983650.6399999997</v>
      </c>
      <c r="N34" s="55">
        <f t="shared" si="5"/>
        <v>0</v>
      </c>
      <c r="O34" s="56">
        <v>3500000</v>
      </c>
      <c r="P34" s="56">
        <v>1700000</v>
      </c>
      <c r="Q34" s="56">
        <f t="shared" si="7"/>
        <v>0</v>
      </c>
      <c r="R34" s="57">
        <f>+M34/J34*100</f>
        <v>34.066588487804879</v>
      </c>
      <c r="S34" s="99"/>
    </row>
    <row r="35" spans="1:19" ht="20.25">
      <c r="A35" s="65"/>
      <c r="B35" s="52" t="s">
        <v>54</v>
      </c>
      <c r="C35" s="53">
        <v>10401</v>
      </c>
      <c r="D35" s="54">
        <v>200000</v>
      </c>
      <c r="E35" s="54"/>
      <c r="F35" s="54"/>
      <c r="G35" s="54"/>
      <c r="H35" s="54"/>
      <c r="I35" s="54"/>
      <c r="J35" s="54">
        <f t="shared" si="6"/>
        <v>200000</v>
      </c>
      <c r="K35" s="54"/>
      <c r="L35" s="54">
        <v>0</v>
      </c>
      <c r="M35" s="54">
        <v>60000</v>
      </c>
      <c r="N35" s="55"/>
      <c r="O35" s="56"/>
      <c r="P35" s="56"/>
      <c r="Q35" s="56">
        <f t="shared" si="7"/>
        <v>140000</v>
      </c>
      <c r="R35" s="57">
        <f>+M35/J35*100</f>
        <v>30</v>
      </c>
      <c r="S35" s="97"/>
    </row>
    <row r="36" spans="1:19" ht="20.25">
      <c r="A36" s="65"/>
      <c r="B36" s="52" t="s">
        <v>55</v>
      </c>
      <c r="C36" s="53">
        <v>10403</v>
      </c>
      <c r="D36" s="54">
        <v>0</v>
      </c>
      <c r="E36" s="54"/>
      <c r="F36" s="54"/>
      <c r="G36" s="54"/>
      <c r="H36" s="54"/>
      <c r="I36" s="54"/>
      <c r="J36" s="54">
        <f t="shared" si="6"/>
        <v>0</v>
      </c>
      <c r="K36" s="54"/>
      <c r="L36" s="54"/>
      <c r="M36" s="54"/>
      <c r="N36" s="55">
        <f t="shared" si="5"/>
        <v>0</v>
      </c>
      <c r="O36" s="56"/>
      <c r="P36" s="56"/>
      <c r="Q36" s="56">
        <f t="shared" si="7"/>
        <v>0</v>
      </c>
      <c r="R36" s="57">
        <v>0</v>
      </c>
      <c r="S36" s="97"/>
    </row>
    <row r="37" spans="1:19" ht="20.25">
      <c r="A37" s="65"/>
      <c r="B37" s="52" t="s">
        <v>56</v>
      </c>
      <c r="C37" s="53">
        <v>10404</v>
      </c>
      <c r="D37" s="54">
        <v>0</v>
      </c>
      <c r="E37" s="54"/>
      <c r="F37" s="54"/>
      <c r="G37" s="54"/>
      <c r="H37" s="54">
        <v>8000000</v>
      </c>
      <c r="I37" s="54"/>
      <c r="J37" s="54">
        <f t="shared" si="6"/>
        <v>8000000</v>
      </c>
      <c r="K37" s="54">
        <v>0</v>
      </c>
      <c r="L37" s="54">
        <v>0</v>
      </c>
      <c r="M37" s="54">
        <v>0</v>
      </c>
      <c r="N37" s="55">
        <f t="shared" si="5"/>
        <v>8000000</v>
      </c>
      <c r="O37" s="56"/>
      <c r="P37" s="56"/>
      <c r="Q37" s="56">
        <f t="shared" si="7"/>
        <v>8000000</v>
      </c>
      <c r="R37" s="57">
        <v>0</v>
      </c>
      <c r="S37" s="99"/>
    </row>
    <row r="38" spans="1:19" ht="36">
      <c r="A38" s="65"/>
      <c r="B38" s="52" t="s">
        <v>57</v>
      </c>
      <c r="C38" s="53">
        <v>10405</v>
      </c>
      <c r="D38" s="54">
        <v>96000000</v>
      </c>
      <c r="E38" s="54"/>
      <c r="F38" s="54"/>
      <c r="G38" s="54">
        <v>-5900000</v>
      </c>
      <c r="H38" s="54">
        <v>-6000000</v>
      </c>
      <c r="I38" s="54">
        <v>-25000000</v>
      </c>
      <c r="J38" s="54">
        <f t="shared" si="6"/>
        <v>59100000</v>
      </c>
      <c r="K38" s="54">
        <v>8550000</v>
      </c>
      <c r="L38" s="54">
        <v>4265000</v>
      </c>
      <c r="M38" s="54">
        <v>1091000</v>
      </c>
      <c r="N38" s="55">
        <f t="shared" ref="N38:N57" si="9">+J37-K38-L38-M38</f>
        <v>-5906000</v>
      </c>
      <c r="O38" s="56">
        <v>10000000</v>
      </c>
      <c r="P38" s="56">
        <v>10000000</v>
      </c>
      <c r="Q38" s="56">
        <f t="shared" si="7"/>
        <v>45194000</v>
      </c>
      <c r="R38" s="57">
        <f t="shared" ref="R38:R55" si="10">+M38/J38*100</f>
        <v>1.8460236886632824</v>
      </c>
      <c r="S38" s="97"/>
    </row>
    <row r="39" spans="1:19" ht="20.25">
      <c r="A39" s="65"/>
      <c r="B39" s="52" t="s">
        <v>58</v>
      </c>
      <c r="C39" s="53">
        <v>10406</v>
      </c>
      <c r="D39" s="54">
        <v>106000000</v>
      </c>
      <c r="E39" s="54"/>
      <c r="F39" s="54"/>
      <c r="G39" s="54"/>
      <c r="H39" s="54"/>
      <c r="I39" s="54"/>
      <c r="J39" s="54">
        <f t="shared" si="6"/>
        <v>106000000</v>
      </c>
      <c r="K39" s="54">
        <v>925200</v>
      </c>
      <c r="L39" s="54">
        <v>62711318.859999999</v>
      </c>
      <c r="M39" s="54">
        <v>41098323.299999997</v>
      </c>
      <c r="N39" s="55">
        <f t="shared" si="9"/>
        <v>-45634842.159999996</v>
      </c>
      <c r="O39" s="56">
        <v>54432000</v>
      </c>
      <c r="P39" s="56">
        <v>9675628.2300000004</v>
      </c>
      <c r="Q39" s="56">
        <f t="shared" si="7"/>
        <v>1265157.8400000036</v>
      </c>
      <c r="R39" s="57">
        <f t="shared" si="10"/>
        <v>38.772003113207546</v>
      </c>
      <c r="S39" s="97"/>
    </row>
    <row r="40" spans="1:19" ht="20.25">
      <c r="A40" s="65"/>
      <c r="B40" s="52" t="s">
        <v>59</v>
      </c>
      <c r="C40" s="53">
        <v>10499</v>
      </c>
      <c r="D40" s="54">
        <v>6000000</v>
      </c>
      <c r="E40" s="54"/>
      <c r="F40" s="54"/>
      <c r="G40" s="54"/>
      <c r="H40" s="54">
        <v>6000000</v>
      </c>
      <c r="I40" s="54"/>
      <c r="J40" s="54">
        <f t="shared" si="6"/>
        <v>12000000</v>
      </c>
      <c r="K40" s="54">
        <v>1118161.8</v>
      </c>
      <c r="L40" s="54">
        <v>6867018.2000000002</v>
      </c>
      <c r="M40" s="54">
        <v>1421120</v>
      </c>
      <c r="N40" s="55">
        <f t="shared" si="9"/>
        <v>96593700</v>
      </c>
      <c r="O40" s="56">
        <v>6980000</v>
      </c>
      <c r="P40" s="56">
        <v>4194154.28</v>
      </c>
      <c r="Q40" s="56">
        <f t="shared" si="7"/>
        <v>2593699.9999999991</v>
      </c>
      <c r="R40" s="57">
        <f t="shared" si="10"/>
        <v>11.842666666666666</v>
      </c>
      <c r="S40" s="97"/>
    </row>
    <row r="41" spans="1:19" ht="20.25">
      <c r="A41" s="65"/>
      <c r="B41" s="52" t="s">
        <v>60</v>
      </c>
      <c r="C41" s="53">
        <v>10501</v>
      </c>
      <c r="D41" s="54">
        <v>2000000</v>
      </c>
      <c r="E41" s="54"/>
      <c r="F41" s="54"/>
      <c r="G41" s="54"/>
      <c r="H41" s="54"/>
      <c r="I41" s="54"/>
      <c r="J41" s="54">
        <f t="shared" si="6"/>
        <v>2000000</v>
      </c>
      <c r="K41" s="54">
        <v>0</v>
      </c>
      <c r="L41" s="54">
        <v>295420</v>
      </c>
      <c r="M41" s="54">
        <v>804580</v>
      </c>
      <c r="N41" s="55">
        <f t="shared" si="9"/>
        <v>10900000</v>
      </c>
      <c r="O41" s="56">
        <v>2000000</v>
      </c>
      <c r="P41" s="56">
        <v>768582.2</v>
      </c>
      <c r="Q41" s="56">
        <f t="shared" si="7"/>
        <v>900000</v>
      </c>
      <c r="R41" s="57">
        <f t="shared" si="10"/>
        <v>40.228999999999999</v>
      </c>
      <c r="S41" s="97"/>
    </row>
    <row r="42" spans="1:19" ht="20.25">
      <c r="A42" s="65"/>
      <c r="B42" s="52" t="s">
        <v>61</v>
      </c>
      <c r="C42" s="53">
        <v>10502</v>
      </c>
      <c r="D42" s="54">
        <v>25000000</v>
      </c>
      <c r="E42" s="54"/>
      <c r="F42" s="54"/>
      <c r="G42" s="54">
        <v>-2500000</v>
      </c>
      <c r="H42" s="54">
        <v>-2500000</v>
      </c>
      <c r="I42" s="54"/>
      <c r="J42" s="54">
        <f t="shared" si="6"/>
        <v>20000000</v>
      </c>
      <c r="K42" s="54">
        <v>0</v>
      </c>
      <c r="L42" s="54">
        <v>8537556.2100000009</v>
      </c>
      <c r="M42" s="54">
        <v>11462443.789999999</v>
      </c>
      <c r="N42" s="55">
        <f t="shared" si="9"/>
        <v>-18000000</v>
      </c>
      <c r="O42" s="56">
        <v>17500000</v>
      </c>
      <c r="P42" s="56">
        <v>6419663</v>
      </c>
      <c r="Q42" s="56">
        <f t="shared" si="7"/>
        <v>0</v>
      </c>
      <c r="R42" s="57">
        <f t="shared" si="10"/>
        <v>57.312218949999995</v>
      </c>
      <c r="S42" s="97"/>
    </row>
    <row r="43" spans="1:19" ht="20.25">
      <c r="A43" s="65"/>
      <c r="B43" s="52" t="s">
        <v>62</v>
      </c>
      <c r="C43" s="53">
        <v>10503</v>
      </c>
      <c r="D43" s="54">
        <v>3000000</v>
      </c>
      <c r="E43" s="54"/>
      <c r="F43" s="54"/>
      <c r="G43" s="54"/>
      <c r="H43" s="54"/>
      <c r="I43" s="54"/>
      <c r="J43" s="54">
        <f t="shared" si="6"/>
        <v>3000000</v>
      </c>
      <c r="K43" s="54">
        <v>0</v>
      </c>
      <c r="L43" s="54">
        <v>0</v>
      </c>
      <c r="M43" s="54">
        <v>1654522.83</v>
      </c>
      <c r="N43" s="55">
        <f t="shared" si="9"/>
        <v>18345477.170000002</v>
      </c>
      <c r="O43" s="56">
        <v>2000000</v>
      </c>
      <c r="P43" s="56">
        <v>1430000</v>
      </c>
      <c r="Q43" s="56">
        <f t="shared" si="7"/>
        <v>1345477.17</v>
      </c>
      <c r="R43" s="57">
        <f t="shared" si="10"/>
        <v>55.150761000000003</v>
      </c>
      <c r="S43" s="99"/>
    </row>
    <row r="44" spans="1:19" ht="20.25">
      <c r="A44" s="65"/>
      <c r="B44" s="52" t="s">
        <v>63</v>
      </c>
      <c r="C44" s="53">
        <v>10504</v>
      </c>
      <c r="D44" s="54">
        <v>4500000</v>
      </c>
      <c r="E44" s="54"/>
      <c r="F44" s="54"/>
      <c r="G44" s="54"/>
      <c r="H44" s="54"/>
      <c r="I44" s="54"/>
      <c r="J44" s="54">
        <f t="shared" si="6"/>
        <v>4500000</v>
      </c>
      <c r="K44" s="54">
        <v>0</v>
      </c>
      <c r="L44" s="54">
        <v>312631.32</v>
      </c>
      <c r="M44" s="54">
        <v>2187368.6800000002</v>
      </c>
      <c r="N44" s="55">
        <f t="shared" si="9"/>
        <v>500000</v>
      </c>
      <c r="O44" s="56">
        <v>3000000</v>
      </c>
      <c r="P44" s="56">
        <v>3000000</v>
      </c>
      <c r="Q44" s="56">
        <f t="shared" si="7"/>
        <v>2000000</v>
      </c>
      <c r="R44" s="57">
        <f t="shared" si="10"/>
        <v>48.608192888888894</v>
      </c>
      <c r="S44" s="97"/>
    </row>
    <row r="45" spans="1:19" ht="20.25">
      <c r="A45" s="65"/>
      <c r="B45" s="52" t="s">
        <v>64</v>
      </c>
      <c r="C45" s="53">
        <v>10601</v>
      </c>
      <c r="D45" s="54">
        <v>38000000</v>
      </c>
      <c r="E45" s="54"/>
      <c r="F45" s="54"/>
      <c r="G45" s="54">
        <v>1500000</v>
      </c>
      <c r="H45" s="54"/>
      <c r="I45" s="54"/>
      <c r="J45" s="54">
        <f t="shared" si="6"/>
        <v>39500000</v>
      </c>
      <c r="K45" s="54">
        <v>0</v>
      </c>
      <c r="L45" s="54">
        <v>805548.72</v>
      </c>
      <c r="M45" s="54">
        <v>37194451.280000001</v>
      </c>
      <c r="N45" s="55">
        <f t="shared" si="9"/>
        <v>-33500000</v>
      </c>
      <c r="O45" s="56">
        <v>35400000</v>
      </c>
      <c r="P45" s="56">
        <v>0</v>
      </c>
      <c r="Q45" s="56">
        <f t="shared" si="7"/>
        <v>1500000</v>
      </c>
      <c r="R45" s="57">
        <f t="shared" si="10"/>
        <v>94.163167797468361</v>
      </c>
      <c r="S45" s="97"/>
    </row>
    <row r="46" spans="1:19" ht="20.25">
      <c r="A46" s="65"/>
      <c r="B46" s="52" t="s">
        <v>65</v>
      </c>
      <c r="C46" s="53">
        <v>10701</v>
      </c>
      <c r="D46" s="54">
        <v>10000000</v>
      </c>
      <c r="E46" s="54"/>
      <c r="F46" s="54"/>
      <c r="G46" s="54"/>
      <c r="H46" s="54"/>
      <c r="I46" s="54"/>
      <c r="J46" s="54">
        <f t="shared" si="6"/>
        <v>10000000</v>
      </c>
      <c r="K46" s="54">
        <v>510462</v>
      </c>
      <c r="L46" s="54">
        <v>4652720.9000000004</v>
      </c>
      <c r="M46" s="54">
        <v>3194716.6</v>
      </c>
      <c r="N46" s="55">
        <f t="shared" si="9"/>
        <v>31142100.5</v>
      </c>
      <c r="O46" s="56">
        <v>4000000</v>
      </c>
      <c r="P46" s="56">
        <v>1634836</v>
      </c>
      <c r="Q46" s="56">
        <f t="shared" si="7"/>
        <v>1642100.4999999995</v>
      </c>
      <c r="R46" s="57">
        <f t="shared" si="10"/>
        <v>31.947165999999999</v>
      </c>
      <c r="S46" s="97"/>
    </row>
    <row r="47" spans="1:19" ht="20.25">
      <c r="A47" s="65"/>
      <c r="B47" s="52" t="s">
        <v>66</v>
      </c>
      <c r="C47" s="53">
        <v>10702</v>
      </c>
      <c r="D47" s="54">
        <v>3000000</v>
      </c>
      <c r="E47" s="54"/>
      <c r="F47" s="54"/>
      <c r="G47" s="54"/>
      <c r="H47" s="54">
        <v>1000000</v>
      </c>
      <c r="I47" s="54"/>
      <c r="J47" s="54">
        <f t="shared" si="6"/>
        <v>4000000</v>
      </c>
      <c r="K47" s="54">
        <v>2700000</v>
      </c>
      <c r="L47" s="54">
        <v>81730</v>
      </c>
      <c r="M47" s="54">
        <v>271770</v>
      </c>
      <c r="N47" s="55">
        <f t="shared" si="9"/>
        <v>6946500</v>
      </c>
      <c r="O47" s="56">
        <v>3000000</v>
      </c>
      <c r="P47" s="56">
        <v>2368530</v>
      </c>
      <c r="Q47" s="56">
        <f t="shared" si="7"/>
        <v>946500</v>
      </c>
      <c r="R47" s="57">
        <f t="shared" si="10"/>
        <v>6.7942499999999999</v>
      </c>
      <c r="S47" s="97"/>
    </row>
    <row r="48" spans="1:19" ht="20.25">
      <c r="A48" s="65"/>
      <c r="B48" s="52" t="s">
        <v>67</v>
      </c>
      <c r="C48" s="53">
        <v>10703</v>
      </c>
      <c r="D48" s="54">
        <v>200000</v>
      </c>
      <c r="E48" s="54"/>
      <c r="F48" s="54"/>
      <c r="G48" s="54"/>
      <c r="H48" s="54"/>
      <c r="I48" s="54"/>
      <c r="J48" s="54">
        <f t="shared" si="6"/>
        <v>200000</v>
      </c>
      <c r="K48" s="54">
        <v>0</v>
      </c>
      <c r="L48" s="54">
        <v>0</v>
      </c>
      <c r="M48" s="54">
        <v>0</v>
      </c>
      <c r="N48" s="55">
        <f t="shared" si="9"/>
        <v>4000000</v>
      </c>
      <c r="O48" s="56">
        <v>500000</v>
      </c>
      <c r="P48" s="56">
        <v>0</v>
      </c>
      <c r="Q48" s="56">
        <f t="shared" si="7"/>
        <v>200000</v>
      </c>
      <c r="R48" s="57">
        <f t="shared" si="10"/>
        <v>0</v>
      </c>
      <c r="S48" s="97"/>
    </row>
    <row r="49" spans="1:19" ht="20.25">
      <c r="A49" s="65"/>
      <c r="B49" s="52" t="s">
        <v>68</v>
      </c>
      <c r="C49" s="53">
        <v>10801</v>
      </c>
      <c r="D49" s="54">
        <v>27000000</v>
      </c>
      <c r="E49" s="54"/>
      <c r="F49" s="54"/>
      <c r="G49" s="54"/>
      <c r="H49" s="54"/>
      <c r="I49" s="54"/>
      <c r="J49" s="54">
        <f t="shared" si="6"/>
        <v>27000000</v>
      </c>
      <c r="K49" s="54">
        <v>1136949</v>
      </c>
      <c r="L49" s="54">
        <v>9234971</v>
      </c>
      <c r="M49" s="54">
        <v>4575900</v>
      </c>
      <c r="N49" s="55">
        <f t="shared" si="9"/>
        <v>-14747820</v>
      </c>
      <c r="O49" s="56">
        <v>28000000</v>
      </c>
      <c r="P49" s="56">
        <v>22343000</v>
      </c>
      <c r="Q49" s="56">
        <f t="shared" si="7"/>
        <v>12052180</v>
      </c>
      <c r="R49" s="57">
        <f t="shared" si="10"/>
        <v>16.947777777777777</v>
      </c>
      <c r="S49" s="97"/>
    </row>
    <row r="50" spans="1:19" ht="20.25">
      <c r="A50" s="65"/>
      <c r="B50" s="52" t="s">
        <v>69</v>
      </c>
      <c r="C50" s="53">
        <v>10804</v>
      </c>
      <c r="D50" s="54">
        <v>5600000</v>
      </c>
      <c r="E50" s="54"/>
      <c r="F50" s="54">
        <v>2500000</v>
      </c>
      <c r="G50" s="54"/>
      <c r="H50" s="54"/>
      <c r="I50" s="54"/>
      <c r="J50" s="54">
        <f t="shared" si="6"/>
        <v>8100000</v>
      </c>
      <c r="K50" s="54">
        <v>41000</v>
      </c>
      <c r="L50" s="54">
        <v>2447500</v>
      </c>
      <c r="M50" s="54">
        <v>1591597.5</v>
      </c>
      <c r="N50" s="55">
        <f t="shared" si="9"/>
        <v>22919902.5</v>
      </c>
      <c r="O50" s="56">
        <v>3200000</v>
      </c>
      <c r="P50" s="56">
        <v>0</v>
      </c>
      <c r="Q50" s="56">
        <f t="shared" si="7"/>
        <v>4019902.5</v>
      </c>
      <c r="R50" s="57">
        <f t="shared" si="10"/>
        <v>19.649351851851851</v>
      </c>
      <c r="S50" s="99"/>
    </row>
    <row r="51" spans="1:19" ht="20.25">
      <c r="A51" s="65"/>
      <c r="B51" s="52" t="s">
        <v>70</v>
      </c>
      <c r="C51" s="53">
        <v>10805</v>
      </c>
      <c r="D51" s="54">
        <v>11000000</v>
      </c>
      <c r="E51" s="54"/>
      <c r="F51" s="54"/>
      <c r="G51" s="54"/>
      <c r="H51" s="54"/>
      <c r="I51" s="54"/>
      <c r="J51" s="54">
        <f t="shared" si="6"/>
        <v>11000000</v>
      </c>
      <c r="K51" s="54">
        <v>1598077.76</v>
      </c>
      <c r="L51" s="54">
        <v>2025023.24</v>
      </c>
      <c r="M51" s="54">
        <v>2201815.34</v>
      </c>
      <c r="N51" s="55">
        <f t="shared" si="9"/>
        <v>2275083.66</v>
      </c>
      <c r="O51" s="56">
        <v>3412000</v>
      </c>
      <c r="P51" s="56">
        <v>0</v>
      </c>
      <c r="Q51" s="56">
        <f t="shared" si="7"/>
        <v>5175083.66</v>
      </c>
      <c r="R51" s="57">
        <f t="shared" si="10"/>
        <v>20.01650309090909</v>
      </c>
      <c r="S51" s="99"/>
    </row>
    <row r="52" spans="1:19" ht="20.25">
      <c r="A52" s="65"/>
      <c r="B52" s="52" t="s">
        <v>71</v>
      </c>
      <c r="C52" s="53">
        <v>10806</v>
      </c>
      <c r="D52" s="54">
        <v>750000</v>
      </c>
      <c r="E52" s="54"/>
      <c r="F52" s="54"/>
      <c r="G52" s="54"/>
      <c r="H52" s="54"/>
      <c r="I52" s="54"/>
      <c r="J52" s="54">
        <f t="shared" si="6"/>
        <v>750000</v>
      </c>
      <c r="K52" s="54">
        <v>0</v>
      </c>
      <c r="L52" s="54">
        <v>22400</v>
      </c>
      <c r="M52" s="54">
        <v>27600</v>
      </c>
      <c r="N52" s="55">
        <f t="shared" si="9"/>
        <v>10950000</v>
      </c>
      <c r="O52" s="56">
        <v>1250000</v>
      </c>
      <c r="P52" s="56">
        <v>1200000</v>
      </c>
      <c r="Q52" s="56">
        <f t="shared" si="7"/>
        <v>700000</v>
      </c>
      <c r="R52" s="57">
        <f t="shared" si="10"/>
        <v>3.6799999999999997</v>
      </c>
      <c r="S52" s="97"/>
    </row>
    <row r="53" spans="1:19" ht="20.25">
      <c r="A53" s="65"/>
      <c r="B53" s="52" t="s">
        <v>72</v>
      </c>
      <c r="C53" s="53">
        <v>10807</v>
      </c>
      <c r="D53" s="54">
        <v>3500000</v>
      </c>
      <c r="E53" s="54"/>
      <c r="F53" s="54">
        <v>2500000</v>
      </c>
      <c r="G53" s="54"/>
      <c r="H53" s="54"/>
      <c r="I53" s="54"/>
      <c r="J53" s="54">
        <f t="shared" si="6"/>
        <v>6000000</v>
      </c>
      <c r="K53" s="54">
        <v>2505927.6</v>
      </c>
      <c r="L53" s="54">
        <v>1607888.84</v>
      </c>
      <c r="M53" s="54">
        <v>1402259.26</v>
      </c>
      <c r="N53" s="55">
        <f t="shared" si="9"/>
        <v>-4766075.7</v>
      </c>
      <c r="O53" s="56">
        <v>2600000</v>
      </c>
      <c r="P53" s="56">
        <v>616428.59</v>
      </c>
      <c r="Q53" s="56">
        <f t="shared" si="7"/>
        <v>483924.29999999981</v>
      </c>
      <c r="R53" s="57">
        <f t="shared" si="10"/>
        <v>23.370987666666668</v>
      </c>
      <c r="S53" s="97"/>
    </row>
    <row r="54" spans="1:19" ht="20.25">
      <c r="A54" s="65"/>
      <c r="B54" s="52" t="s">
        <v>73</v>
      </c>
      <c r="C54" s="53">
        <v>10808</v>
      </c>
      <c r="D54" s="54">
        <v>2500000</v>
      </c>
      <c r="E54" s="54"/>
      <c r="F54" s="54"/>
      <c r="G54" s="54"/>
      <c r="H54" s="54"/>
      <c r="I54" s="54"/>
      <c r="J54" s="54">
        <f t="shared" si="6"/>
        <v>2500000</v>
      </c>
      <c r="K54" s="54">
        <v>547907.68999999994</v>
      </c>
      <c r="L54" s="54">
        <v>21353</v>
      </c>
      <c r="M54" s="54">
        <v>852788.84</v>
      </c>
      <c r="N54" s="55">
        <f t="shared" si="9"/>
        <v>4577950.4700000007</v>
      </c>
      <c r="O54" s="56">
        <v>1000000</v>
      </c>
      <c r="P54" s="56">
        <v>63861.04</v>
      </c>
      <c r="Q54" s="56">
        <f t="shared" si="7"/>
        <v>1077950.4700000002</v>
      </c>
      <c r="R54" s="57">
        <f t="shared" si="10"/>
        <v>34.111553600000001</v>
      </c>
      <c r="S54" s="97"/>
    </row>
    <row r="55" spans="1:19" ht="20.25">
      <c r="A55" s="65"/>
      <c r="B55" s="52" t="s">
        <v>74</v>
      </c>
      <c r="C55" s="53">
        <v>10899</v>
      </c>
      <c r="D55" s="54">
        <v>150000</v>
      </c>
      <c r="E55" s="54"/>
      <c r="F55" s="54"/>
      <c r="G55" s="54"/>
      <c r="H55" s="54"/>
      <c r="I55" s="54"/>
      <c r="J55" s="54">
        <f t="shared" si="6"/>
        <v>150000</v>
      </c>
      <c r="K55" s="54">
        <v>0</v>
      </c>
      <c r="L55" s="54">
        <v>49778.76</v>
      </c>
      <c r="M55" s="54">
        <v>100221.24</v>
      </c>
      <c r="N55" s="55">
        <f t="shared" si="9"/>
        <v>2350000</v>
      </c>
      <c r="O55" s="56"/>
      <c r="P55" s="56"/>
      <c r="Q55" s="56">
        <f t="shared" si="7"/>
        <v>0</v>
      </c>
      <c r="R55" s="57">
        <f t="shared" si="10"/>
        <v>66.814160000000001</v>
      </c>
      <c r="S55" s="97"/>
    </row>
    <row r="56" spans="1:19" ht="20.25">
      <c r="A56" s="65"/>
      <c r="B56" s="52" t="s">
        <v>75</v>
      </c>
      <c r="C56" s="53">
        <v>10999</v>
      </c>
      <c r="D56" s="54">
        <v>600000</v>
      </c>
      <c r="E56" s="54"/>
      <c r="F56" s="54"/>
      <c r="G56" s="54"/>
      <c r="H56" s="54"/>
      <c r="I56" s="54"/>
      <c r="J56" s="54">
        <f t="shared" si="6"/>
        <v>600000</v>
      </c>
      <c r="K56" s="54">
        <v>0</v>
      </c>
      <c r="L56" s="54">
        <v>0</v>
      </c>
      <c r="M56" s="54">
        <v>0</v>
      </c>
      <c r="N56" s="55">
        <f t="shared" si="9"/>
        <v>150000</v>
      </c>
      <c r="O56" s="56">
        <v>0</v>
      </c>
      <c r="P56" s="56">
        <v>0</v>
      </c>
      <c r="Q56" s="56">
        <f t="shared" si="7"/>
        <v>600000</v>
      </c>
      <c r="R56" s="57">
        <f>+M56/J55*100</f>
        <v>0</v>
      </c>
      <c r="S56" s="97"/>
    </row>
    <row r="57" spans="1:19" ht="20.25">
      <c r="A57" s="66"/>
      <c r="B57" s="52" t="s">
        <v>76</v>
      </c>
      <c r="C57" s="53">
        <v>19905</v>
      </c>
      <c r="D57" s="54">
        <v>500000</v>
      </c>
      <c r="E57" s="54"/>
      <c r="F57" s="54"/>
      <c r="G57" s="54"/>
      <c r="H57" s="54"/>
      <c r="I57" s="54"/>
      <c r="J57" s="54">
        <f t="shared" si="6"/>
        <v>500000</v>
      </c>
      <c r="K57" s="54">
        <v>0</v>
      </c>
      <c r="L57" s="54">
        <v>0</v>
      </c>
      <c r="M57" s="54">
        <v>150000</v>
      </c>
      <c r="N57" s="55">
        <f t="shared" si="9"/>
        <v>450000</v>
      </c>
      <c r="O57" s="56">
        <v>1000000</v>
      </c>
      <c r="P57" s="56">
        <v>1000000</v>
      </c>
      <c r="Q57" s="56">
        <f t="shared" si="7"/>
        <v>350000</v>
      </c>
      <c r="R57" s="57">
        <f>+M57/J56*100</f>
        <v>25</v>
      </c>
      <c r="S57" s="97"/>
    </row>
    <row r="58" spans="1:19" ht="20.25">
      <c r="A58" s="65"/>
      <c r="B58" s="52" t="s">
        <v>77</v>
      </c>
      <c r="C58" s="53">
        <v>19999</v>
      </c>
      <c r="D58" s="54">
        <v>0</v>
      </c>
      <c r="E58" s="54"/>
      <c r="F58" s="54"/>
      <c r="G58" s="54"/>
      <c r="H58" s="54"/>
      <c r="I58" s="54"/>
      <c r="J58" s="54">
        <f>SUM(D58:I58)</f>
        <v>0</v>
      </c>
      <c r="K58" s="54"/>
      <c r="L58" s="54"/>
      <c r="M58" s="54"/>
      <c r="N58" s="55">
        <v>280000</v>
      </c>
      <c r="O58" s="56"/>
      <c r="P58" s="56"/>
      <c r="Q58" s="56">
        <f t="shared" si="7"/>
        <v>0</v>
      </c>
      <c r="R58" s="57">
        <v>0</v>
      </c>
      <c r="S58" s="97"/>
    </row>
    <row r="59" spans="1:19" ht="17.25" customHeight="1">
      <c r="A59" s="65"/>
      <c r="B59" s="68" t="s">
        <v>78</v>
      </c>
      <c r="C59" s="69"/>
      <c r="D59" s="70">
        <f t="shared" ref="D59:I59" si="11">SUM(D21:D58)</f>
        <v>553249000</v>
      </c>
      <c r="E59" s="70">
        <f t="shared" si="11"/>
        <v>0</v>
      </c>
      <c r="F59" s="70">
        <f t="shared" si="11"/>
        <v>-5500000</v>
      </c>
      <c r="G59" s="70">
        <f t="shared" si="11"/>
        <v>0</v>
      </c>
      <c r="H59" s="70">
        <f t="shared" si="11"/>
        <v>-2950000</v>
      </c>
      <c r="I59" s="70">
        <f t="shared" si="11"/>
        <v>-25000000</v>
      </c>
      <c r="J59" s="70">
        <f>SUM(J21:J57)</f>
        <v>519799000</v>
      </c>
      <c r="K59" s="70">
        <f>SUM(K21:K57)</f>
        <v>41768670.25</v>
      </c>
      <c r="L59" s="70">
        <f t="shared" ref="L59:Q59" si="12">SUM(L21:L57)</f>
        <v>159291167.28999999</v>
      </c>
      <c r="M59" s="70">
        <f t="shared" si="12"/>
        <v>219231034.16000003</v>
      </c>
      <c r="N59" s="70">
        <f t="shared" si="12"/>
        <v>106868128.3</v>
      </c>
      <c r="O59" s="70">
        <f t="shared" si="12"/>
        <v>248394600</v>
      </c>
      <c r="P59" s="70">
        <f t="shared" si="12"/>
        <v>76644241.24000001</v>
      </c>
      <c r="Q59" s="70">
        <f t="shared" si="12"/>
        <v>99508128.299999997</v>
      </c>
      <c r="R59" s="63">
        <f>+M59/J59*100</f>
        <v>42.176116952899108</v>
      </c>
      <c r="S59" s="97"/>
    </row>
    <row r="60" spans="1:19" ht="20.25">
      <c r="A60" s="64" t="s">
        <v>79</v>
      </c>
      <c r="B60" s="52" t="s">
        <v>80</v>
      </c>
      <c r="C60" s="53">
        <v>20101</v>
      </c>
      <c r="D60" s="56">
        <v>12000000</v>
      </c>
      <c r="E60" s="56"/>
      <c r="F60" s="56"/>
      <c r="G60" s="56"/>
      <c r="H60" s="56"/>
      <c r="I60" s="56"/>
      <c r="J60" s="56">
        <f>SUM(D60:I60)</f>
        <v>12000000</v>
      </c>
      <c r="K60" s="56">
        <v>0</v>
      </c>
      <c r="L60" s="56">
        <v>7994062</v>
      </c>
      <c r="M60" s="56">
        <v>4005938</v>
      </c>
      <c r="N60" s="96">
        <f t="shared" ref="N60:N82" si="13">+J60-K60-L60-M60</f>
        <v>0</v>
      </c>
      <c r="O60" s="56">
        <v>4723590</v>
      </c>
      <c r="P60" s="56">
        <v>4574869.91</v>
      </c>
      <c r="Q60" s="56">
        <f>+J60-K60-L60-M60</f>
        <v>0</v>
      </c>
      <c r="R60" s="57">
        <f>+M60/J60*100</f>
        <v>33.382816666666663</v>
      </c>
      <c r="S60" s="97"/>
    </row>
    <row r="61" spans="1:19" ht="20.25">
      <c r="A61" s="65"/>
      <c r="B61" s="52" t="s">
        <v>81</v>
      </c>
      <c r="C61" s="53">
        <v>20102</v>
      </c>
      <c r="D61" s="56">
        <v>1500000</v>
      </c>
      <c r="E61" s="56"/>
      <c r="F61" s="56">
        <v>500000</v>
      </c>
      <c r="G61" s="56"/>
      <c r="H61" s="56"/>
      <c r="I61" s="56"/>
      <c r="J61" s="56">
        <f t="shared" ref="J61:J81" si="14">SUM(D61:I61)</f>
        <v>2000000</v>
      </c>
      <c r="K61" s="56">
        <v>0</v>
      </c>
      <c r="L61" s="56">
        <v>66953</v>
      </c>
      <c r="M61" s="56">
        <v>1217015.23</v>
      </c>
      <c r="N61" s="96">
        <f t="shared" si="13"/>
        <v>716031.77</v>
      </c>
      <c r="O61" s="56">
        <v>1850000</v>
      </c>
      <c r="P61" s="56">
        <v>1800000</v>
      </c>
      <c r="Q61" s="56">
        <f t="shared" ref="Q61:Q82" si="15">+J61-K61-L61-M61</f>
        <v>716031.77</v>
      </c>
      <c r="R61" s="57">
        <f t="shared" ref="R61:R82" si="16">+M61/J61*100</f>
        <v>60.850761499999997</v>
      </c>
      <c r="S61" s="97"/>
    </row>
    <row r="62" spans="1:19" ht="20.25">
      <c r="A62" s="65"/>
      <c r="B62" s="52" t="s">
        <v>82</v>
      </c>
      <c r="C62" s="53">
        <v>20104</v>
      </c>
      <c r="D62" s="56">
        <v>10000000</v>
      </c>
      <c r="E62" s="56"/>
      <c r="F62" s="56"/>
      <c r="G62" s="56"/>
      <c r="H62" s="56"/>
      <c r="I62" s="56"/>
      <c r="J62" s="56">
        <f t="shared" si="14"/>
        <v>10000000</v>
      </c>
      <c r="K62" s="56">
        <v>350000</v>
      </c>
      <c r="L62" s="56">
        <v>53866.01</v>
      </c>
      <c r="M62" s="56">
        <v>6197524.0999999996</v>
      </c>
      <c r="N62" s="96">
        <f t="shared" si="13"/>
        <v>3398609.8900000006</v>
      </c>
      <c r="O62" s="56">
        <v>5500000</v>
      </c>
      <c r="P62" s="56">
        <v>58920.85</v>
      </c>
      <c r="Q62" s="56">
        <f t="shared" si="15"/>
        <v>3398609.8900000006</v>
      </c>
      <c r="R62" s="57">
        <f t="shared" si="16"/>
        <v>61.97524099999999</v>
      </c>
      <c r="S62" s="99"/>
    </row>
    <row r="63" spans="1:19" ht="20.25">
      <c r="A63" s="65"/>
      <c r="B63" s="52" t="s">
        <v>83</v>
      </c>
      <c r="C63" s="53">
        <v>20199</v>
      </c>
      <c r="D63" s="56">
        <v>200000</v>
      </c>
      <c r="E63" s="56"/>
      <c r="F63" s="56"/>
      <c r="G63" s="56"/>
      <c r="H63" s="56"/>
      <c r="I63" s="56"/>
      <c r="J63" s="56">
        <f t="shared" si="14"/>
        <v>200000</v>
      </c>
      <c r="K63" s="56">
        <v>0</v>
      </c>
      <c r="L63" s="56">
        <v>46070.02</v>
      </c>
      <c r="M63" s="56">
        <v>53929.98</v>
      </c>
      <c r="N63" s="96">
        <f t="shared" si="13"/>
        <v>100000</v>
      </c>
      <c r="O63" s="56">
        <v>0</v>
      </c>
      <c r="P63" s="56">
        <v>-1863.45</v>
      </c>
      <c r="Q63" s="56">
        <f t="shared" si="15"/>
        <v>100000</v>
      </c>
      <c r="R63" s="57">
        <f t="shared" si="16"/>
        <v>26.96499</v>
      </c>
      <c r="S63" s="99"/>
    </row>
    <row r="64" spans="1:19" ht="20.25">
      <c r="A64" s="65"/>
      <c r="B64" s="52" t="s">
        <v>84</v>
      </c>
      <c r="C64" s="53">
        <v>20202</v>
      </c>
      <c r="D64" s="56">
        <v>0</v>
      </c>
      <c r="E64" s="56"/>
      <c r="F64" s="56"/>
      <c r="G64" s="56"/>
      <c r="H64" s="56"/>
      <c r="I64" s="56"/>
      <c r="J64" s="56">
        <f t="shared" si="14"/>
        <v>0</v>
      </c>
      <c r="K64" s="56">
        <v>0</v>
      </c>
      <c r="L64" s="56">
        <v>0</v>
      </c>
      <c r="M64" s="56">
        <v>0</v>
      </c>
      <c r="N64" s="96">
        <f t="shared" si="13"/>
        <v>0</v>
      </c>
      <c r="O64" s="56">
        <v>100000</v>
      </c>
      <c r="P64" s="56">
        <v>100000</v>
      </c>
      <c r="Q64" s="56">
        <f t="shared" si="15"/>
        <v>0</v>
      </c>
      <c r="R64" s="57">
        <v>0</v>
      </c>
      <c r="S64" s="99"/>
    </row>
    <row r="65" spans="1:19" ht="20.25">
      <c r="A65" s="65"/>
      <c r="B65" s="52" t="s">
        <v>85</v>
      </c>
      <c r="C65" s="53">
        <v>20203</v>
      </c>
      <c r="D65" s="56">
        <v>1700000</v>
      </c>
      <c r="E65" s="56"/>
      <c r="F65" s="56"/>
      <c r="G65" s="56"/>
      <c r="H65" s="56"/>
      <c r="I65" s="56"/>
      <c r="J65" s="56">
        <f t="shared" si="14"/>
        <v>1700000</v>
      </c>
      <c r="K65" s="56">
        <v>0</v>
      </c>
      <c r="L65" s="56">
        <v>812689.99</v>
      </c>
      <c r="M65" s="56">
        <v>625260.87</v>
      </c>
      <c r="N65" s="96">
        <f t="shared" si="13"/>
        <v>262049.14</v>
      </c>
      <c r="O65" s="56">
        <v>800000</v>
      </c>
      <c r="P65" s="56">
        <v>0</v>
      </c>
      <c r="Q65" s="56">
        <f t="shared" si="15"/>
        <v>262049.14</v>
      </c>
      <c r="R65" s="57">
        <f t="shared" si="16"/>
        <v>36.780051176470593</v>
      </c>
      <c r="S65" s="99"/>
    </row>
    <row r="66" spans="1:19" ht="20.25">
      <c r="A66" s="65"/>
      <c r="B66" s="52" t="s">
        <v>86</v>
      </c>
      <c r="C66" s="53">
        <v>20301</v>
      </c>
      <c r="D66" s="56">
        <v>200000</v>
      </c>
      <c r="E66" s="56"/>
      <c r="F66" s="56"/>
      <c r="G66" s="56"/>
      <c r="H66" s="56">
        <v>450000</v>
      </c>
      <c r="I66" s="56"/>
      <c r="J66" s="56">
        <f t="shared" si="14"/>
        <v>650000</v>
      </c>
      <c r="K66" s="56">
        <v>0</v>
      </c>
      <c r="L66" s="56">
        <v>83910.01</v>
      </c>
      <c r="M66" s="56">
        <v>116089.99</v>
      </c>
      <c r="N66" s="96">
        <f t="shared" si="13"/>
        <v>450000</v>
      </c>
      <c r="O66" s="56">
        <v>1350000</v>
      </c>
      <c r="P66" s="56">
        <v>1290821.8999999999</v>
      </c>
      <c r="Q66" s="56">
        <f t="shared" si="15"/>
        <v>450000</v>
      </c>
      <c r="R66" s="57">
        <f t="shared" si="16"/>
        <v>17.859998461538463</v>
      </c>
      <c r="S66" s="97"/>
    </row>
    <row r="67" spans="1:19" ht="20.25">
      <c r="A67" s="65"/>
      <c r="B67" s="52" t="s">
        <v>87</v>
      </c>
      <c r="C67" s="53">
        <v>20302</v>
      </c>
      <c r="D67" s="56">
        <v>200000</v>
      </c>
      <c r="E67" s="56"/>
      <c r="F67" s="56"/>
      <c r="G67" s="56"/>
      <c r="H67" s="56"/>
      <c r="I67" s="56"/>
      <c r="J67" s="56">
        <f t="shared" si="14"/>
        <v>200000</v>
      </c>
      <c r="K67" s="56">
        <v>150000</v>
      </c>
      <c r="L67" s="56">
        <v>7450</v>
      </c>
      <c r="M67" s="56">
        <v>42550</v>
      </c>
      <c r="N67" s="96">
        <f t="shared" si="13"/>
        <v>0</v>
      </c>
      <c r="O67" s="56"/>
      <c r="P67" s="56"/>
      <c r="Q67" s="56">
        <f t="shared" si="15"/>
        <v>0</v>
      </c>
      <c r="R67" s="57">
        <f t="shared" si="16"/>
        <v>21.274999999999999</v>
      </c>
      <c r="S67" s="97"/>
    </row>
    <row r="68" spans="1:19" ht="20.25">
      <c r="A68" s="65"/>
      <c r="B68" s="52" t="s">
        <v>88</v>
      </c>
      <c r="C68" s="53">
        <v>20303</v>
      </c>
      <c r="D68" s="56">
        <v>150000</v>
      </c>
      <c r="E68" s="56"/>
      <c r="F68" s="56"/>
      <c r="G68" s="56"/>
      <c r="H68" s="56"/>
      <c r="I68" s="56"/>
      <c r="J68" s="56">
        <f t="shared" si="14"/>
        <v>150000</v>
      </c>
      <c r="K68" s="56">
        <v>0</v>
      </c>
      <c r="L68" s="56">
        <v>0</v>
      </c>
      <c r="M68" s="56">
        <v>0</v>
      </c>
      <c r="N68" s="96">
        <f t="shared" si="13"/>
        <v>150000</v>
      </c>
      <c r="O68" s="56">
        <v>200000</v>
      </c>
      <c r="P68" s="56">
        <v>200000</v>
      </c>
      <c r="Q68" s="56">
        <f t="shared" si="15"/>
        <v>150000</v>
      </c>
      <c r="R68" s="57">
        <f t="shared" si="16"/>
        <v>0</v>
      </c>
      <c r="S68" s="99"/>
    </row>
    <row r="69" spans="1:19" ht="36">
      <c r="A69" s="65"/>
      <c r="B69" s="52" t="s">
        <v>89</v>
      </c>
      <c r="C69" s="53">
        <v>20304</v>
      </c>
      <c r="D69" s="56">
        <v>4200000</v>
      </c>
      <c r="E69" s="56"/>
      <c r="F69" s="56"/>
      <c r="G69" s="56"/>
      <c r="H69" s="56"/>
      <c r="I69" s="56"/>
      <c r="J69" s="56">
        <f t="shared" si="14"/>
        <v>4200000</v>
      </c>
      <c r="K69" s="56">
        <v>3770000</v>
      </c>
      <c r="L69" s="56">
        <v>49507.68</v>
      </c>
      <c r="M69" s="56">
        <v>250492.32</v>
      </c>
      <c r="N69" s="96">
        <f t="shared" si="13"/>
        <v>130000</v>
      </c>
      <c r="O69" s="56">
        <v>2000000</v>
      </c>
      <c r="P69" s="56">
        <v>1851750.21</v>
      </c>
      <c r="Q69" s="56">
        <f t="shared" si="15"/>
        <v>130000</v>
      </c>
      <c r="R69" s="57">
        <f t="shared" si="16"/>
        <v>5.9641028571428567</v>
      </c>
      <c r="S69" s="97"/>
    </row>
    <row r="70" spans="1:19" ht="20.25">
      <c r="A70" s="65"/>
      <c r="B70" s="52" t="s">
        <v>90</v>
      </c>
      <c r="C70" s="53">
        <v>20305</v>
      </c>
      <c r="D70" s="56">
        <v>50000</v>
      </c>
      <c r="E70" s="56"/>
      <c r="F70" s="56"/>
      <c r="G70" s="56"/>
      <c r="H70" s="56"/>
      <c r="I70" s="56"/>
      <c r="J70" s="56">
        <f t="shared" si="14"/>
        <v>50000</v>
      </c>
      <c r="K70" s="56">
        <v>0</v>
      </c>
      <c r="L70" s="56">
        <v>0</v>
      </c>
      <c r="M70" s="56"/>
      <c r="N70" s="96">
        <f t="shared" si="13"/>
        <v>50000</v>
      </c>
      <c r="O70" s="56">
        <v>160000</v>
      </c>
      <c r="P70" s="56">
        <v>97404.9</v>
      </c>
      <c r="Q70" s="56">
        <f t="shared" si="15"/>
        <v>50000</v>
      </c>
      <c r="R70" s="57">
        <f t="shared" si="16"/>
        <v>0</v>
      </c>
      <c r="S70" s="97"/>
    </row>
    <row r="71" spans="1:19" ht="20.25">
      <c r="A71" s="65"/>
      <c r="B71" s="52" t="s">
        <v>91</v>
      </c>
      <c r="C71" s="53">
        <v>20306</v>
      </c>
      <c r="D71" s="56">
        <v>700000</v>
      </c>
      <c r="E71" s="56"/>
      <c r="F71" s="56"/>
      <c r="G71" s="56"/>
      <c r="H71" s="56"/>
      <c r="I71" s="56"/>
      <c r="J71" s="56">
        <f t="shared" si="14"/>
        <v>700000</v>
      </c>
      <c r="K71" s="56">
        <v>100000</v>
      </c>
      <c r="L71" s="56">
        <v>13557.5</v>
      </c>
      <c r="M71" s="56">
        <v>36442.5</v>
      </c>
      <c r="N71" s="96">
        <f t="shared" si="13"/>
        <v>550000</v>
      </c>
      <c r="O71" s="56">
        <v>185000</v>
      </c>
      <c r="P71" s="56">
        <v>0</v>
      </c>
      <c r="Q71" s="56">
        <f t="shared" si="15"/>
        <v>550000</v>
      </c>
      <c r="R71" s="57">
        <f t="shared" si="16"/>
        <v>5.2060714285714287</v>
      </c>
      <c r="S71" s="97"/>
    </row>
    <row r="72" spans="1:19" ht="36">
      <c r="A72" s="65"/>
      <c r="B72" s="52" t="s">
        <v>92</v>
      </c>
      <c r="C72" s="53">
        <v>20399</v>
      </c>
      <c r="D72" s="56">
        <v>600000</v>
      </c>
      <c r="E72" s="56"/>
      <c r="F72" s="56"/>
      <c r="G72" s="56"/>
      <c r="H72" s="56"/>
      <c r="I72" s="56"/>
      <c r="J72" s="56">
        <f t="shared" si="14"/>
        <v>600000</v>
      </c>
      <c r="K72" s="56">
        <v>550000</v>
      </c>
      <c r="L72" s="56">
        <v>12510.52</v>
      </c>
      <c r="M72" s="56">
        <v>37489.480000000003</v>
      </c>
      <c r="N72" s="96">
        <f t="shared" si="13"/>
        <v>0</v>
      </c>
      <c r="O72" s="56">
        <v>500000</v>
      </c>
      <c r="P72" s="56">
        <v>424002</v>
      </c>
      <c r="Q72" s="56">
        <f t="shared" si="15"/>
        <v>0</v>
      </c>
      <c r="R72" s="57">
        <f t="shared" si="16"/>
        <v>6.2482466666666676</v>
      </c>
      <c r="S72" s="97"/>
    </row>
    <row r="73" spans="1:19" ht="20.25">
      <c r="A73" s="65"/>
      <c r="B73" s="52" t="s">
        <v>93</v>
      </c>
      <c r="C73" s="53">
        <v>20401</v>
      </c>
      <c r="D73" s="56">
        <v>1500000</v>
      </c>
      <c r="E73" s="56"/>
      <c r="F73" s="56"/>
      <c r="G73" s="56"/>
      <c r="H73" s="56"/>
      <c r="I73" s="56"/>
      <c r="J73" s="56">
        <f t="shared" si="14"/>
        <v>1500000</v>
      </c>
      <c r="K73" s="56">
        <v>1450000</v>
      </c>
      <c r="L73" s="56">
        <v>38740</v>
      </c>
      <c r="M73" s="56">
        <v>11260</v>
      </c>
      <c r="N73" s="96">
        <f t="shared" si="13"/>
        <v>0</v>
      </c>
      <c r="O73" s="56">
        <v>165000</v>
      </c>
      <c r="P73" s="56">
        <v>161219.45000000001</v>
      </c>
      <c r="Q73" s="56">
        <f t="shared" si="15"/>
        <v>0</v>
      </c>
      <c r="R73" s="57">
        <f t="shared" si="16"/>
        <v>0.7506666666666667</v>
      </c>
      <c r="S73" s="97"/>
    </row>
    <row r="74" spans="1:19" ht="20.25">
      <c r="A74" s="65"/>
      <c r="B74" s="52" t="s">
        <v>94</v>
      </c>
      <c r="C74" s="53">
        <v>20402</v>
      </c>
      <c r="D74" s="56">
        <v>2000000</v>
      </c>
      <c r="E74" s="56"/>
      <c r="F74" s="56"/>
      <c r="G74" s="56"/>
      <c r="H74" s="56"/>
      <c r="I74" s="56"/>
      <c r="J74" s="56">
        <f t="shared" si="14"/>
        <v>2000000</v>
      </c>
      <c r="K74" s="56">
        <v>1358000</v>
      </c>
      <c r="L74" s="56">
        <v>178611.51</v>
      </c>
      <c r="M74" s="56">
        <v>278612.73</v>
      </c>
      <c r="N74" s="96">
        <f t="shared" si="13"/>
        <v>184775.76</v>
      </c>
      <c r="O74" s="56">
        <v>3000000</v>
      </c>
      <c r="P74" s="56">
        <v>752337.44</v>
      </c>
      <c r="Q74" s="56">
        <f t="shared" si="15"/>
        <v>184775.76</v>
      </c>
      <c r="R74" s="57">
        <f t="shared" si="16"/>
        <v>13.930636499999999</v>
      </c>
      <c r="S74" s="97"/>
    </row>
    <row r="75" spans="1:19" ht="20.25">
      <c r="A75" s="65"/>
      <c r="B75" s="52" t="s">
        <v>95</v>
      </c>
      <c r="C75" s="53">
        <v>29901</v>
      </c>
      <c r="D75" s="56">
        <v>2000000</v>
      </c>
      <c r="E75" s="56"/>
      <c r="F75" s="56"/>
      <c r="G75" s="56"/>
      <c r="H75" s="56"/>
      <c r="I75" s="56"/>
      <c r="J75" s="56">
        <f t="shared" si="14"/>
        <v>2000000</v>
      </c>
      <c r="K75" s="56">
        <v>0</v>
      </c>
      <c r="L75" s="56">
        <v>179112.03</v>
      </c>
      <c r="M75" s="56">
        <v>1462420.27</v>
      </c>
      <c r="N75" s="96">
        <f t="shared" si="13"/>
        <v>358467.69999999995</v>
      </c>
      <c r="O75" s="56">
        <v>1450000</v>
      </c>
      <c r="P75" s="56">
        <v>0</v>
      </c>
      <c r="Q75" s="56">
        <f t="shared" si="15"/>
        <v>358467.69999999995</v>
      </c>
      <c r="R75" s="57">
        <f t="shared" si="16"/>
        <v>73.121013500000004</v>
      </c>
      <c r="S75" s="97"/>
    </row>
    <row r="76" spans="1:19" ht="20.25">
      <c r="A76" s="65"/>
      <c r="B76" s="52" t="s">
        <v>96</v>
      </c>
      <c r="C76" s="53">
        <v>29902</v>
      </c>
      <c r="D76" s="56">
        <v>350000</v>
      </c>
      <c r="E76" s="56"/>
      <c r="F76" s="56"/>
      <c r="G76" s="56"/>
      <c r="H76" s="56"/>
      <c r="I76" s="56"/>
      <c r="J76" s="56">
        <f t="shared" si="14"/>
        <v>350000</v>
      </c>
      <c r="K76" s="56">
        <v>0</v>
      </c>
      <c r="L76" s="56">
        <v>42506</v>
      </c>
      <c r="M76" s="56">
        <v>194475.31</v>
      </c>
      <c r="N76" s="96">
        <f t="shared" si="13"/>
        <v>113018.69</v>
      </c>
      <c r="O76" s="56">
        <v>275000</v>
      </c>
      <c r="P76" s="56">
        <v>275000</v>
      </c>
      <c r="Q76" s="56">
        <f t="shared" si="15"/>
        <v>113018.69</v>
      </c>
      <c r="R76" s="57">
        <f t="shared" si="16"/>
        <v>55.56437428571428</v>
      </c>
      <c r="S76" s="99"/>
    </row>
    <row r="77" spans="1:19" ht="20.25">
      <c r="A77" s="65"/>
      <c r="B77" s="52" t="s">
        <v>97</v>
      </c>
      <c r="C77" s="53">
        <v>29903</v>
      </c>
      <c r="D77" s="56">
        <v>8000000</v>
      </c>
      <c r="E77" s="56"/>
      <c r="F77" s="56"/>
      <c r="G77" s="56"/>
      <c r="H77" s="56"/>
      <c r="I77" s="56"/>
      <c r="J77" s="56">
        <f t="shared" si="14"/>
        <v>8000000</v>
      </c>
      <c r="K77" s="56">
        <v>0</v>
      </c>
      <c r="L77" s="56">
        <v>3580427.9</v>
      </c>
      <c r="M77" s="56">
        <v>3534683.7</v>
      </c>
      <c r="N77" s="96">
        <f t="shared" si="13"/>
        <v>884888.39999999944</v>
      </c>
      <c r="O77" s="56">
        <v>9690000</v>
      </c>
      <c r="P77" s="56">
        <v>5905506.1200000001</v>
      </c>
      <c r="Q77" s="56">
        <f t="shared" si="15"/>
        <v>884888.39999999944</v>
      </c>
      <c r="R77" s="57">
        <f t="shared" si="16"/>
        <v>44.183546249999999</v>
      </c>
      <c r="S77" s="97"/>
    </row>
    <row r="78" spans="1:19" ht="20.25">
      <c r="A78" s="65"/>
      <c r="B78" s="52" t="s">
        <v>98</v>
      </c>
      <c r="C78" s="53">
        <v>29904</v>
      </c>
      <c r="D78" s="56">
        <v>1500000</v>
      </c>
      <c r="E78" s="56"/>
      <c r="F78" s="56"/>
      <c r="G78" s="56"/>
      <c r="H78" s="56"/>
      <c r="I78" s="56"/>
      <c r="J78" s="56">
        <f t="shared" si="14"/>
        <v>1500000</v>
      </c>
      <c r="K78" s="56">
        <v>400000</v>
      </c>
      <c r="L78" s="56">
        <v>110181.17</v>
      </c>
      <c r="M78" s="56">
        <v>510132.75</v>
      </c>
      <c r="N78" s="96">
        <f t="shared" si="13"/>
        <v>479686.07999999996</v>
      </c>
      <c r="O78" s="56">
        <v>500000</v>
      </c>
      <c r="P78" s="56">
        <v>430602.7</v>
      </c>
      <c r="Q78" s="56">
        <f t="shared" si="15"/>
        <v>479686.07999999996</v>
      </c>
      <c r="R78" s="57">
        <f t="shared" si="16"/>
        <v>34.008850000000002</v>
      </c>
      <c r="S78" s="97"/>
    </row>
    <row r="79" spans="1:19" ht="20.25">
      <c r="A79" s="65"/>
      <c r="B79" s="52" t="s">
        <v>99</v>
      </c>
      <c r="C79" s="53">
        <v>29905</v>
      </c>
      <c r="D79" s="56">
        <v>1000000</v>
      </c>
      <c r="E79" s="56"/>
      <c r="F79" s="56"/>
      <c r="G79" s="56"/>
      <c r="H79" s="56"/>
      <c r="I79" s="56"/>
      <c r="J79" s="56">
        <f t="shared" si="14"/>
        <v>1000000</v>
      </c>
      <c r="K79" s="56">
        <v>0</v>
      </c>
      <c r="L79" s="56">
        <v>603946</v>
      </c>
      <c r="M79" s="56">
        <v>344850</v>
      </c>
      <c r="N79" s="96">
        <f t="shared" si="13"/>
        <v>51204</v>
      </c>
      <c r="O79" s="56">
        <v>1746000</v>
      </c>
      <c r="P79" s="56">
        <v>1595468.6</v>
      </c>
      <c r="Q79" s="56">
        <f t="shared" si="15"/>
        <v>51204</v>
      </c>
      <c r="R79" s="57">
        <f t="shared" si="16"/>
        <v>34.484999999999999</v>
      </c>
      <c r="S79" s="99"/>
    </row>
    <row r="80" spans="1:19" ht="20.25">
      <c r="A80" s="65"/>
      <c r="B80" s="52" t="s">
        <v>100</v>
      </c>
      <c r="C80" s="53">
        <v>29906</v>
      </c>
      <c r="D80" s="56">
        <v>200000</v>
      </c>
      <c r="E80" s="56"/>
      <c r="F80" s="56"/>
      <c r="G80" s="56"/>
      <c r="H80" s="56"/>
      <c r="I80" s="56"/>
      <c r="J80" s="56">
        <f t="shared" si="14"/>
        <v>200000</v>
      </c>
      <c r="K80" s="56">
        <v>200000</v>
      </c>
      <c r="L80" s="56">
        <v>0</v>
      </c>
      <c r="M80" s="56">
        <v>0</v>
      </c>
      <c r="N80" s="96">
        <f t="shared" si="13"/>
        <v>0</v>
      </c>
      <c r="O80" s="56"/>
      <c r="P80" s="56"/>
      <c r="Q80" s="56">
        <f t="shared" si="15"/>
        <v>0</v>
      </c>
      <c r="R80" s="57">
        <f t="shared" si="16"/>
        <v>0</v>
      </c>
      <c r="S80" s="97"/>
    </row>
    <row r="81" spans="1:19" ht="20.25">
      <c r="A81" s="65"/>
      <c r="B81" s="52" t="s">
        <v>101</v>
      </c>
      <c r="C81" s="53">
        <v>29907</v>
      </c>
      <c r="D81" s="56">
        <v>300000</v>
      </c>
      <c r="E81" s="56"/>
      <c r="F81" s="56"/>
      <c r="G81" s="56"/>
      <c r="H81" s="56"/>
      <c r="I81" s="56"/>
      <c r="J81" s="56">
        <f t="shared" si="14"/>
        <v>300000</v>
      </c>
      <c r="K81" s="56">
        <v>0</v>
      </c>
      <c r="L81" s="56">
        <v>0</v>
      </c>
      <c r="M81" s="56">
        <v>0</v>
      </c>
      <c r="N81" s="96">
        <f t="shared" si="13"/>
        <v>300000</v>
      </c>
      <c r="O81" s="56">
        <v>100000</v>
      </c>
      <c r="P81" s="56">
        <v>95000</v>
      </c>
      <c r="Q81" s="56">
        <f t="shared" si="15"/>
        <v>300000</v>
      </c>
      <c r="R81" s="57">
        <f t="shared" si="16"/>
        <v>0</v>
      </c>
      <c r="S81" s="97"/>
    </row>
    <row r="82" spans="1:19" ht="20.25">
      <c r="A82" s="66"/>
      <c r="B82" s="52" t="s">
        <v>102</v>
      </c>
      <c r="C82" s="53">
        <v>29999</v>
      </c>
      <c r="D82" s="56">
        <v>200000</v>
      </c>
      <c r="E82" s="56"/>
      <c r="F82" s="56"/>
      <c r="G82" s="56"/>
      <c r="H82" s="56"/>
      <c r="I82" s="56"/>
      <c r="J82" s="56">
        <f>SUM(D82:I82)</f>
        <v>200000</v>
      </c>
      <c r="K82" s="56">
        <v>51174</v>
      </c>
      <c r="L82" s="56">
        <v>17254.2</v>
      </c>
      <c r="M82" s="56">
        <v>131571.79999999999</v>
      </c>
      <c r="N82" s="96">
        <f t="shared" si="13"/>
        <v>0</v>
      </c>
      <c r="O82" s="56">
        <v>165000</v>
      </c>
      <c r="P82" s="56">
        <v>165000</v>
      </c>
      <c r="Q82" s="56">
        <f t="shared" si="15"/>
        <v>0</v>
      </c>
      <c r="R82" s="57">
        <f t="shared" si="16"/>
        <v>65.785899999999998</v>
      </c>
      <c r="S82" s="97"/>
    </row>
    <row r="83" spans="1:19" ht="20.25">
      <c r="A83" s="65"/>
      <c r="B83" s="71" t="s">
        <v>103</v>
      </c>
      <c r="C83" s="72"/>
      <c r="D83" s="73">
        <f>SUM(D60:D82)</f>
        <v>48550000</v>
      </c>
      <c r="E83" s="73">
        <f>SUM(E60:E82)</f>
        <v>0</v>
      </c>
      <c r="F83" s="73">
        <f>SUM(F60:F82)</f>
        <v>500000</v>
      </c>
      <c r="G83" s="73"/>
      <c r="H83" s="73">
        <f>SUM(H60:H82)</f>
        <v>450000</v>
      </c>
      <c r="I83" s="73">
        <f>SUM(I60:I82)</f>
        <v>0</v>
      </c>
      <c r="J83" s="73">
        <f t="shared" ref="J83:Q83" si="17">SUM(J60:J82)</f>
        <v>49500000</v>
      </c>
      <c r="K83" s="73">
        <f t="shared" si="17"/>
        <v>8379174</v>
      </c>
      <c r="L83" s="73">
        <f t="shared" si="17"/>
        <v>13891355.539999997</v>
      </c>
      <c r="M83" s="73">
        <f t="shared" si="17"/>
        <v>19050739.030000001</v>
      </c>
      <c r="N83" s="73">
        <f t="shared" si="17"/>
        <v>8178731.4299999997</v>
      </c>
      <c r="O83" s="73">
        <f t="shared" si="17"/>
        <v>34459590</v>
      </c>
      <c r="P83" s="73">
        <f t="shared" si="17"/>
        <v>19776040.629999999</v>
      </c>
      <c r="Q83" s="73">
        <f t="shared" si="17"/>
        <v>8178731.4299999997</v>
      </c>
      <c r="R83" s="63">
        <f>+M83/J83*100</f>
        <v>38.486341474747476</v>
      </c>
      <c r="S83" s="97"/>
    </row>
    <row r="84" spans="1:19" ht="20.25">
      <c r="A84" s="65"/>
      <c r="B84" s="74" t="s">
        <v>104</v>
      </c>
      <c r="C84" s="53">
        <v>50102</v>
      </c>
      <c r="D84" s="56">
        <v>60000000</v>
      </c>
      <c r="E84" s="56"/>
      <c r="F84" s="56"/>
      <c r="G84" s="56"/>
      <c r="H84" s="56"/>
      <c r="I84" s="56"/>
      <c r="J84" s="56">
        <f>SUM(D84:I84)</f>
        <v>60000000</v>
      </c>
      <c r="K84" s="56">
        <v>10590771.85</v>
      </c>
      <c r="L84" s="56">
        <v>0</v>
      </c>
      <c r="M84" s="56">
        <v>49237319.450000003</v>
      </c>
      <c r="N84" s="56"/>
      <c r="O84" s="56"/>
      <c r="P84" s="56"/>
      <c r="Q84" s="56">
        <f>+J84-K84-L84-M84</f>
        <v>171908.69999999553</v>
      </c>
      <c r="R84" s="57" t="s">
        <v>105</v>
      </c>
      <c r="S84" s="97"/>
    </row>
    <row r="85" spans="1:19" ht="20.25">
      <c r="A85" s="65"/>
      <c r="B85" s="74" t="s">
        <v>106</v>
      </c>
      <c r="C85" s="53">
        <v>50103</v>
      </c>
      <c r="D85" s="56">
        <v>10000000</v>
      </c>
      <c r="E85" s="56"/>
      <c r="F85" s="56"/>
      <c r="G85" s="56"/>
      <c r="H85" s="56"/>
      <c r="I85" s="56"/>
      <c r="J85" s="56">
        <f t="shared" ref="J85:J92" si="18">SUM(D85:I85)</f>
        <v>10000000</v>
      </c>
      <c r="K85" s="56">
        <v>10000000</v>
      </c>
      <c r="L85" s="56">
        <v>0</v>
      </c>
      <c r="M85" s="56">
        <v>0</v>
      </c>
      <c r="N85" s="56">
        <v>301341.48</v>
      </c>
      <c r="O85" s="56"/>
      <c r="P85" s="56"/>
      <c r="Q85" s="56">
        <f t="shared" ref="Q85:Q92" si="19">+J85-K85-L85-M85</f>
        <v>0</v>
      </c>
      <c r="R85" s="57">
        <f>+M85/J85*100</f>
        <v>0</v>
      </c>
      <c r="S85" s="97"/>
    </row>
    <row r="86" spans="1:19" ht="16.5" customHeight="1">
      <c r="A86" s="65"/>
      <c r="B86" s="74" t="s">
        <v>107</v>
      </c>
      <c r="C86" s="53">
        <v>50104</v>
      </c>
      <c r="D86" s="56">
        <v>20000000</v>
      </c>
      <c r="E86" s="56"/>
      <c r="F86" s="56">
        <v>2500000</v>
      </c>
      <c r="G86" s="56"/>
      <c r="H86" s="56">
        <v>2500000</v>
      </c>
      <c r="I86" s="56"/>
      <c r="J86" s="56">
        <f t="shared" si="18"/>
        <v>25000000</v>
      </c>
      <c r="K86" s="56">
        <v>2597500.5299999998</v>
      </c>
      <c r="L86" s="56">
        <v>589600.5</v>
      </c>
      <c r="M86" s="56">
        <v>21609827.899999999</v>
      </c>
      <c r="N86" s="56">
        <v>88239.65</v>
      </c>
      <c r="O86" s="56"/>
      <c r="P86" s="56"/>
      <c r="Q86" s="56">
        <f t="shared" si="19"/>
        <v>203071.0700000003</v>
      </c>
      <c r="R86" s="57">
        <f t="shared" ref="R86:R92" si="20">+M86/J86*100</f>
        <v>86.439311599999996</v>
      </c>
      <c r="S86" s="97"/>
    </row>
    <row r="87" spans="1:19" ht="37.5">
      <c r="A87" s="75" t="s">
        <v>108</v>
      </c>
      <c r="B87" s="74" t="s">
        <v>109</v>
      </c>
      <c r="C87" s="53">
        <v>50105</v>
      </c>
      <c r="D87" s="56">
        <v>50000000</v>
      </c>
      <c r="E87" s="56">
        <v>-34844.22</v>
      </c>
      <c r="F87" s="56"/>
      <c r="G87" s="56"/>
      <c r="H87" s="56"/>
      <c r="I87" s="56"/>
      <c r="J87" s="56">
        <f t="shared" si="18"/>
        <v>49965155.780000001</v>
      </c>
      <c r="K87" s="56">
        <v>44965155.780000001</v>
      </c>
      <c r="L87" s="56">
        <v>0</v>
      </c>
      <c r="M87" s="56">
        <v>4706505.34</v>
      </c>
      <c r="N87" s="56">
        <v>519994.06</v>
      </c>
      <c r="O87" s="56">
        <v>15000000</v>
      </c>
      <c r="P87" s="56">
        <v>14900000</v>
      </c>
      <c r="Q87" s="56">
        <f t="shared" si="19"/>
        <v>293494.66000000015</v>
      </c>
      <c r="R87" s="57">
        <f t="shared" si="20"/>
        <v>9.4195750348964484</v>
      </c>
      <c r="S87" s="97"/>
    </row>
    <row r="88" spans="1:19" ht="28.5" customHeight="1">
      <c r="A88" s="76"/>
      <c r="B88" s="74" t="s">
        <v>110</v>
      </c>
      <c r="C88" s="53">
        <v>50106</v>
      </c>
      <c r="D88" s="56">
        <v>0</v>
      </c>
      <c r="E88" s="56">
        <v>34844.22</v>
      </c>
      <c r="F88" s="56"/>
      <c r="G88" s="56"/>
      <c r="H88" s="56"/>
      <c r="I88" s="56"/>
      <c r="J88" s="56">
        <f t="shared" si="18"/>
        <v>34844.22</v>
      </c>
      <c r="K88" s="56">
        <v>0</v>
      </c>
      <c r="L88" s="56">
        <v>0</v>
      </c>
      <c r="M88" s="56">
        <v>34844.22</v>
      </c>
      <c r="N88" s="56">
        <v>340990.7</v>
      </c>
      <c r="O88" s="56">
        <v>12000000</v>
      </c>
      <c r="P88" s="56">
        <v>11650000</v>
      </c>
      <c r="Q88" s="56">
        <f t="shared" si="19"/>
        <v>0</v>
      </c>
      <c r="R88" s="57" t="s">
        <v>105</v>
      </c>
      <c r="S88" s="99"/>
    </row>
    <row r="89" spans="1:19" ht="25.5" customHeight="1">
      <c r="A89" s="76"/>
      <c r="B89" s="74" t="s">
        <v>111</v>
      </c>
      <c r="C89" s="53">
        <v>50199</v>
      </c>
      <c r="D89" s="56">
        <v>0</v>
      </c>
      <c r="E89" s="56"/>
      <c r="F89" s="56">
        <v>2500000</v>
      </c>
      <c r="G89" s="56"/>
      <c r="H89" s="56"/>
      <c r="I89" s="56"/>
      <c r="J89" s="56">
        <f t="shared" si="18"/>
        <v>2500000</v>
      </c>
      <c r="K89" s="56">
        <v>2238000</v>
      </c>
      <c r="L89" s="56">
        <v>27996.02</v>
      </c>
      <c r="M89" s="56">
        <v>234000</v>
      </c>
      <c r="N89" s="56">
        <v>432044.64</v>
      </c>
      <c r="O89" s="56"/>
      <c r="P89" s="56"/>
      <c r="Q89" s="56">
        <f t="shared" si="19"/>
        <v>3.9800000000104774</v>
      </c>
      <c r="R89" s="57" t="s">
        <v>105</v>
      </c>
      <c r="S89" s="99"/>
    </row>
    <row r="90" spans="1:19" ht="25.5" customHeight="1">
      <c r="A90" s="76"/>
      <c r="B90" s="74" t="s">
        <v>112</v>
      </c>
      <c r="C90" s="53">
        <v>50201</v>
      </c>
      <c r="D90" s="56">
        <v>0</v>
      </c>
      <c r="E90" s="56"/>
      <c r="F90" s="56"/>
      <c r="G90" s="56"/>
      <c r="H90" s="56"/>
      <c r="I90" s="56"/>
      <c r="J90" s="56">
        <f t="shared" si="18"/>
        <v>0</v>
      </c>
      <c r="K90" s="56">
        <v>0</v>
      </c>
      <c r="L90" s="56"/>
      <c r="M90" s="56">
        <v>0</v>
      </c>
      <c r="N90" s="56"/>
      <c r="O90" s="56"/>
      <c r="P90" s="56"/>
      <c r="Q90" s="56">
        <f t="shared" si="19"/>
        <v>0</v>
      </c>
      <c r="R90" s="57" t="s">
        <v>105</v>
      </c>
      <c r="S90" s="99"/>
    </row>
    <row r="91" spans="1:19" ht="25.5" customHeight="1">
      <c r="A91" s="76"/>
      <c r="B91" s="74" t="s">
        <v>113</v>
      </c>
      <c r="C91" s="53">
        <v>50207</v>
      </c>
      <c r="D91" s="56">
        <v>0</v>
      </c>
      <c r="E91" s="56"/>
      <c r="F91" s="56"/>
      <c r="G91" s="56"/>
      <c r="H91" s="56"/>
      <c r="I91" s="56"/>
      <c r="J91" s="56">
        <f t="shared" si="18"/>
        <v>0</v>
      </c>
      <c r="K91" s="56">
        <v>0</v>
      </c>
      <c r="L91" s="56"/>
      <c r="M91" s="56">
        <v>0</v>
      </c>
      <c r="N91" s="56"/>
      <c r="O91" s="56"/>
      <c r="P91" s="56"/>
      <c r="Q91" s="56">
        <f t="shared" si="19"/>
        <v>0</v>
      </c>
      <c r="R91" s="57" t="s">
        <v>105</v>
      </c>
      <c r="S91" s="97"/>
    </row>
    <row r="92" spans="1:19" ht="29.25" customHeight="1">
      <c r="A92" s="77"/>
      <c r="B92" s="74" t="s">
        <v>114</v>
      </c>
      <c r="C92" s="53">
        <v>59903</v>
      </c>
      <c r="D92" s="56">
        <v>14030000</v>
      </c>
      <c r="E92" s="56"/>
      <c r="F92" s="56"/>
      <c r="G92" s="56"/>
      <c r="H92" s="56"/>
      <c r="I92" s="56"/>
      <c r="J92" s="56">
        <f t="shared" si="18"/>
        <v>14030000</v>
      </c>
      <c r="K92" s="56">
        <v>7750000</v>
      </c>
      <c r="L92" s="56">
        <v>0</v>
      </c>
      <c r="M92" s="56">
        <v>0</v>
      </c>
      <c r="N92" s="56">
        <v>1000</v>
      </c>
      <c r="O92" s="56">
        <v>12000000</v>
      </c>
      <c r="P92" s="56">
        <v>12000000</v>
      </c>
      <c r="Q92" s="56">
        <f t="shared" si="19"/>
        <v>6280000</v>
      </c>
      <c r="R92" s="57">
        <f t="shared" si="20"/>
        <v>0</v>
      </c>
      <c r="S92" s="97"/>
    </row>
    <row r="93" spans="1:19" ht="20.25">
      <c r="A93" s="76"/>
      <c r="B93" s="78" t="s">
        <v>115</v>
      </c>
      <c r="C93" s="79"/>
      <c r="D93" s="80">
        <f>SUM(D84:D92)</f>
        <v>154030000</v>
      </c>
      <c r="E93" s="80">
        <f>SUM(E84:E92)</f>
        <v>0</v>
      </c>
      <c r="F93" s="80">
        <f>SUM(F84:F92)</f>
        <v>5000000</v>
      </c>
      <c r="G93" s="80"/>
      <c r="H93" s="80">
        <f>SUM(H84:H92)</f>
        <v>2500000</v>
      </c>
      <c r="I93" s="80">
        <f>SUM(I84:I92)</f>
        <v>0</v>
      </c>
      <c r="J93" s="80">
        <f t="shared" ref="J93:Q93" si="21">SUM(J84:J92)</f>
        <v>161530000</v>
      </c>
      <c r="K93" s="80">
        <f t="shared" si="21"/>
        <v>78141428.159999996</v>
      </c>
      <c r="L93" s="80">
        <f t="shared" si="21"/>
        <v>617596.52</v>
      </c>
      <c r="M93" s="80">
        <f t="shared" si="21"/>
        <v>75822496.909999996</v>
      </c>
      <c r="N93" s="80">
        <f t="shared" si="21"/>
        <v>1683610.5299999998</v>
      </c>
      <c r="O93" s="80">
        <f t="shared" si="21"/>
        <v>39000000</v>
      </c>
      <c r="P93" s="80">
        <f t="shared" si="21"/>
        <v>38550000</v>
      </c>
      <c r="Q93" s="80">
        <f t="shared" si="21"/>
        <v>6948478.4099999964</v>
      </c>
      <c r="R93" s="63">
        <f>+M93/J93*100</f>
        <v>46.940194954497613</v>
      </c>
      <c r="S93" s="97"/>
    </row>
    <row r="94" spans="1:19" ht="36">
      <c r="A94" s="75" t="s">
        <v>116</v>
      </c>
      <c r="B94" s="52" t="s">
        <v>117</v>
      </c>
      <c r="C94" s="53">
        <v>60103</v>
      </c>
      <c r="D94" s="56">
        <v>24385000</v>
      </c>
      <c r="E94" s="56"/>
      <c r="F94" s="56">
        <v>9500000</v>
      </c>
      <c r="G94" s="56">
        <v>5000000</v>
      </c>
      <c r="H94" s="56">
        <v>0</v>
      </c>
      <c r="I94" s="56"/>
      <c r="J94" s="56">
        <f>SUM(D94:I94)</f>
        <v>38885000</v>
      </c>
      <c r="K94" s="56">
        <v>0</v>
      </c>
      <c r="L94" s="56">
        <v>12684081.050000001</v>
      </c>
      <c r="M94" s="56">
        <v>27200918.949999999</v>
      </c>
      <c r="N94" s="56">
        <v>0</v>
      </c>
      <c r="O94" s="56"/>
      <c r="P94" s="56"/>
      <c r="Q94" s="56">
        <f>+J94-K94-L94-M94</f>
        <v>-1000000</v>
      </c>
      <c r="R94" s="57">
        <f>+M94/J94*100</f>
        <v>69.952215378680734</v>
      </c>
      <c r="S94" s="97"/>
    </row>
    <row r="95" spans="1:19" ht="36">
      <c r="A95" s="76"/>
      <c r="B95" s="52" t="s">
        <v>118</v>
      </c>
      <c r="C95" s="53">
        <v>60103</v>
      </c>
      <c r="D95" s="56">
        <v>10511000</v>
      </c>
      <c r="E95" s="56"/>
      <c r="F95" s="56"/>
      <c r="G95" s="56"/>
      <c r="H95" s="56"/>
      <c r="I95" s="56"/>
      <c r="J95" s="56">
        <f t="shared" ref="J95:J102" si="22">SUM(D95:I95)</f>
        <v>10511000</v>
      </c>
      <c r="K95" s="56">
        <v>0</v>
      </c>
      <c r="L95" s="56">
        <v>4976642.6900000004</v>
      </c>
      <c r="M95" s="56">
        <v>5534357.3099999996</v>
      </c>
      <c r="N95" s="56">
        <v>0</v>
      </c>
      <c r="O95" s="56"/>
      <c r="P95" s="56"/>
      <c r="Q95" s="56">
        <f t="shared" ref="Q95:Q102" si="23">+J95-K95-L95-M95</f>
        <v>0</v>
      </c>
      <c r="R95" s="57">
        <f t="shared" ref="R95:R102" si="24">+M95/J95*100</f>
        <v>52.653004566644469</v>
      </c>
      <c r="S95" s="97"/>
    </row>
    <row r="96" spans="1:19" ht="20.25">
      <c r="A96" s="76"/>
      <c r="B96" s="52" t="s">
        <v>119</v>
      </c>
      <c r="C96" s="53">
        <v>60103</v>
      </c>
      <c r="D96" s="56">
        <v>12980000</v>
      </c>
      <c r="E96" s="56"/>
      <c r="F96" s="56"/>
      <c r="G96" s="56"/>
      <c r="H96" s="56"/>
      <c r="I96" s="56"/>
      <c r="J96" s="56">
        <f t="shared" si="22"/>
        <v>12980000</v>
      </c>
      <c r="K96" s="56">
        <v>0</v>
      </c>
      <c r="L96" s="56">
        <v>0</v>
      </c>
      <c r="M96" s="56">
        <v>12979310.33</v>
      </c>
      <c r="N96" s="56">
        <v>0</v>
      </c>
      <c r="O96" s="56"/>
      <c r="P96" s="56"/>
      <c r="Q96" s="56">
        <f t="shared" si="23"/>
        <v>689.66999999992549</v>
      </c>
      <c r="R96" s="57">
        <f t="shared" si="24"/>
        <v>99.994686671802782</v>
      </c>
      <c r="S96" s="97"/>
    </row>
    <row r="97" spans="1:19" ht="20.25">
      <c r="A97" s="76"/>
      <c r="B97" s="52" t="s">
        <v>120</v>
      </c>
      <c r="C97" s="53">
        <v>60103</v>
      </c>
      <c r="D97" s="56">
        <v>5580000</v>
      </c>
      <c r="E97" s="56"/>
      <c r="F97" s="56"/>
      <c r="G97" s="56"/>
      <c r="H97" s="56"/>
      <c r="I97" s="56"/>
      <c r="J97" s="56">
        <f t="shared" si="22"/>
        <v>5580000</v>
      </c>
      <c r="K97" s="56">
        <v>0</v>
      </c>
      <c r="L97" s="56">
        <v>0</v>
      </c>
      <c r="M97" s="56">
        <v>0</v>
      </c>
      <c r="N97" s="56">
        <v>0</v>
      </c>
      <c r="O97" s="56"/>
      <c r="P97" s="56"/>
      <c r="Q97" s="56">
        <f t="shared" si="23"/>
        <v>5580000</v>
      </c>
      <c r="R97" s="57">
        <f t="shared" si="24"/>
        <v>0</v>
      </c>
      <c r="S97" s="97"/>
    </row>
    <row r="98" spans="1:19" ht="20.25">
      <c r="A98" s="76"/>
      <c r="B98" s="52" t="s">
        <v>121</v>
      </c>
      <c r="C98" s="53">
        <v>60202</v>
      </c>
      <c r="D98" s="56">
        <v>750000</v>
      </c>
      <c r="E98" s="56"/>
      <c r="F98" s="56"/>
      <c r="G98" s="56"/>
      <c r="H98" s="56">
        <v>1000000</v>
      </c>
      <c r="I98" s="56"/>
      <c r="J98" s="56">
        <f t="shared" si="22"/>
        <v>1750000</v>
      </c>
      <c r="K98" s="56">
        <v>0</v>
      </c>
      <c r="L98" s="56">
        <v>319510</v>
      </c>
      <c r="M98" s="56">
        <v>430490</v>
      </c>
      <c r="N98" s="56">
        <v>0</v>
      </c>
      <c r="O98" s="56"/>
      <c r="P98" s="56"/>
      <c r="Q98" s="56">
        <f t="shared" si="23"/>
        <v>1000000</v>
      </c>
      <c r="R98" s="57">
        <f t="shared" si="24"/>
        <v>24.599428571428572</v>
      </c>
      <c r="S98" s="99"/>
    </row>
    <row r="99" spans="1:19" ht="20.25">
      <c r="A99" s="76"/>
      <c r="B99" s="52" t="s">
        <v>122</v>
      </c>
      <c r="C99" s="53">
        <v>60301</v>
      </c>
      <c r="D99" s="56">
        <v>27700000</v>
      </c>
      <c r="E99" s="56"/>
      <c r="F99" s="56">
        <v>20084047.289999999</v>
      </c>
      <c r="G99" s="56"/>
      <c r="H99" s="56">
        <v>8000000</v>
      </c>
      <c r="I99" s="56"/>
      <c r="J99" s="56">
        <f t="shared" si="22"/>
        <v>55784047.289999999</v>
      </c>
      <c r="K99" s="56">
        <v>0</v>
      </c>
      <c r="L99" s="56">
        <v>0</v>
      </c>
      <c r="M99" s="56">
        <v>31395780.350000001</v>
      </c>
      <c r="N99" s="56">
        <v>4894116.3899999997</v>
      </c>
      <c r="O99" s="56"/>
      <c r="P99" s="56"/>
      <c r="Q99" s="56">
        <f t="shared" si="23"/>
        <v>24388266.939999998</v>
      </c>
      <c r="R99" s="57">
        <f t="shared" si="24"/>
        <v>56.280929540277533</v>
      </c>
      <c r="S99" s="97"/>
    </row>
    <row r="100" spans="1:19" ht="20.25">
      <c r="A100" s="77"/>
      <c r="B100" s="52" t="s">
        <v>123</v>
      </c>
      <c r="C100" s="53">
        <v>60399</v>
      </c>
      <c r="D100" s="56">
        <v>27000000</v>
      </c>
      <c r="E100" s="56"/>
      <c r="F100" s="56"/>
      <c r="G100" s="56"/>
      <c r="H100" s="56"/>
      <c r="I100" s="56"/>
      <c r="J100" s="56">
        <f t="shared" si="22"/>
        <v>27000000</v>
      </c>
      <c r="K100" s="56">
        <v>0</v>
      </c>
      <c r="L100" s="56">
        <v>17597925.09</v>
      </c>
      <c r="M100" s="56">
        <v>9402074.9100000001</v>
      </c>
      <c r="N100" s="56">
        <v>0</v>
      </c>
      <c r="O100" s="56"/>
      <c r="P100" s="56"/>
      <c r="Q100" s="56">
        <f t="shared" si="23"/>
        <v>0</v>
      </c>
      <c r="R100" s="57">
        <f t="shared" si="24"/>
        <v>34.822499666666666</v>
      </c>
      <c r="S100" s="97"/>
    </row>
    <row r="101" spans="1:19" ht="20.25">
      <c r="A101" s="77"/>
      <c r="B101" s="52" t="s">
        <v>124</v>
      </c>
      <c r="C101" s="53">
        <v>60601</v>
      </c>
      <c r="D101" s="56">
        <v>300000</v>
      </c>
      <c r="E101" s="56"/>
      <c r="F101" s="56"/>
      <c r="G101" s="56"/>
      <c r="H101" s="56"/>
      <c r="I101" s="56"/>
      <c r="J101" s="56">
        <f t="shared" si="22"/>
        <v>300000</v>
      </c>
      <c r="K101" s="56">
        <v>0</v>
      </c>
      <c r="L101" s="56">
        <v>0</v>
      </c>
      <c r="M101" s="56">
        <v>0</v>
      </c>
      <c r="N101" s="56">
        <v>1500000</v>
      </c>
      <c r="O101" s="56"/>
      <c r="P101" s="56"/>
      <c r="Q101" s="56">
        <f t="shared" si="23"/>
        <v>300000</v>
      </c>
      <c r="R101" s="57">
        <f t="shared" si="24"/>
        <v>0</v>
      </c>
      <c r="S101" s="99"/>
    </row>
    <row r="102" spans="1:19" ht="21" thickBot="1">
      <c r="A102" s="77"/>
      <c r="B102" s="52" t="s">
        <v>125</v>
      </c>
      <c r="C102" s="53">
        <v>60701</v>
      </c>
      <c r="D102" s="56">
        <v>3000000</v>
      </c>
      <c r="E102" s="56"/>
      <c r="F102" s="56"/>
      <c r="G102" s="56"/>
      <c r="H102" s="56"/>
      <c r="I102" s="56"/>
      <c r="J102" s="56">
        <f t="shared" si="22"/>
        <v>3000000</v>
      </c>
      <c r="K102" s="56"/>
      <c r="L102" s="56">
        <v>22241.5</v>
      </c>
      <c r="M102" s="56">
        <v>2977758.5</v>
      </c>
      <c r="N102" s="56"/>
      <c r="O102" s="56"/>
      <c r="P102" s="56"/>
      <c r="Q102" s="56">
        <f t="shared" si="23"/>
        <v>0</v>
      </c>
      <c r="R102" s="57">
        <f t="shared" si="24"/>
        <v>99.258616666666668</v>
      </c>
      <c r="S102" s="99"/>
    </row>
    <row r="103" spans="1:19" ht="21" thickBot="1">
      <c r="A103" s="77"/>
      <c r="B103" s="81" t="s">
        <v>126</v>
      </c>
      <c r="C103" s="82"/>
      <c r="D103" s="83">
        <f t="shared" ref="D103:I103" si="25">SUM(D94:D102)</f>
        <v>112206000</v>
      </c>
      <c r="E103" s="83">
        <f t="shared" si="25"/>
        <v>0</v>
      </c>
      <c r="F103" s="83">
        <f t="shared" si="25"/>
        <v>29584047.289999999</v>
      </c>
      <c r="G103" s="83">
        <f t="shared" si="25"/>
        <v>5000000</v>
      </c>
      <c r="H103" s="83">
        <f t="shared" si="25"/>
        <v>9000000</v>
      </c>
      <c r="I103" s="83">
        <f t="shared" si="25"/>
        <v>0</v>
      </c>
      <c r="J103" s="83">
        <f t="shared" ref="J103:Q103" si="26">SUM(J94:J102)</f>
        <v>155790047.28999999</v>
      </c>
      <c r="K103" s="83">
        <f t="shared" si="26"/>
        <v>0</v>
      </c>
      <c r="L103" s="83">
        <f t="shared" si="26"/>
        <v>35600400.329999998</v>
      </c>
      <c r="M103" s="83">
        <f t="shared" si="26"/>
        <v>89920690.349999994</v>
      </c>
      <c r="N103" s="83">
        <f t="shared" si="26"/>
        <v>6394116.3899999997</v>
      </c>
      <c r="O103" s="83">
        <f t="shared" si="26"/>
        <v>0</v>
      </c>
      <c r="P103" s="83">
        <f t="shared" si="26"/>
        <v>0</v>
      </c>
      <c r="Q103" s="83">
        <f t="shared" si="26"/>
        <v>30268956.609999999</v>
      </c>
      <c r="R103" s="84">
        <f>+M103/J103*100</f>
        <v>57.719149531172853</v>
      </c>
      <c r="S103" s="99"/>
    </row>
    <row r="104" spans="1:19" ht="20.25">
      <c r="A104" s="77"/>
      <c r="B104" s="81"/>
      <c r="C104" s="82" t="s">
        <v>105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95"/>
      <c r="S104" s="97"/>
    </row>
    <row r="105" spans="1:19" ht="20.25">
      <c r="A105" s="85"/>
      <c r="B105" s="85"/>
      <c r="C105" s="53"/>
      <c r="D105" s="86">
        <f>+D103+D93+D83+D59+D20</f>
        <v>6361000000</v>
      </c>
      <c r="E105" s="86">
        <f t="shared" ref="E105:Q105" si="27">+E103+E93+E83+E59+E20</f>
        <v>0</v>
      </c>
      <c r="F105" s="86">
        <f t="shared" si="27"/>
        <v>0</v>
      </c>
      <c r="G105" s="86">
        <f t="shared" si="27"/>
        <v>0</v>
      </c>
      <c r="H105" s="86">
        <f t="shared" si="27"/>
        <v>0</v>
      </c>
      <c r="I105" s="86">
        <f t="shared" si="27"/>
        <v>-188240330</v>
      </c>
      <c r="J105" s="86">
        <f t="shared" si="27"/>
        <v>6172759670</v>
      </c>
      <c r="K105" s="86">
        <f t="shared" si="27"/>
        <v>128289272.41</v>
      </c>
      <c r="L105" s="86">
        <f t="shared" si="27"/>
        <v>2066850266.0699999</v>
      </c>
      <c r="M105" s="86">
        <f t="shared" si="27"/>
        <v>3476385721.4899998</v>
      </c>
      <c r="N105" s="86">
        <f t="shared" si="27"/>
        <v>1803891000.6500001</v>
      </c>
      <c r="O105" s="86">
        <f t="shared" si="27"/>
        <v>2030357470.3799999</v>
      </c>
      <c r="P105" s="86">
        <f t="shared" si="27"/>
        <v>2989452943.4899998</v>
      </c>
      <c r="Q105" s="86">
        <f t="shared" si="27"/>
        <v>501234410.02999997</v>
      </c>
      <c r="R105" s="87"/>
      <c r="S105" s="99"/>
    </row>
    <row r="106" spans="1:19" ht="20.25">
      <c r="A106" s="87"/>
      <c r="B106" s="87"/>
      <c r="C106" s="88"/>
      <c r="D106" s="87"/>
      <c r="E106" s="87"/>
      <c r="F106" s="87"/>
      <c r="G106" s="87"/>
      <c r="H106" s="87"/>
      <c r="I106" s="87"/>
      <c r="J106" s="87"/>
      <c r="K106" s="67" t="s">
        <v>105</v>
      </c>
      <c r="L106" s="87"/>
      <c r="M106" s="55" t="s">
        <v>105</v>
      </c>
      <c r="N106" s="87"/>
      <c r="O106" s="87"/>
      <c r="P106" s="87"/>
      <c r="Q106" s="87"/>
      <c r="R106" s="87"/>
      <c r="S106" s="99"/>
    </row>
    <row r="107" spans="1:19" ht="21" thickBot="1">
      <c r="A107" s="87"/>
      <c r="B107" s="87"/>
      <c r="C107" s="88"/>
      <c r="D107" s="87"/>
      <c r="E107" s="87"/>
      <c r="F107" s="87"/>
      <c r="G107" s="87"/>
      <c r="H107" s="87"/>
      <c r="I107" s="87"/>
      <c r="J107" s="57" t="s">
        <v>105</v>
      </c>
      <c r="K107" s="57" t="s">
        <v>105</v>
      </c>
      <c r="L107" s="87"/>
      <c r="M107" s="57" t="s">
        <v>105</v>
      </c>
      <c r="N107" s="87"/>
      <c r="O107" s="87"/>
      <c r="P107" s="87"/>
      <c r="Q107" s="87"/>
      <c r="R107" s="87" t="s">
        <v>105</v>
      </c>
      <c r="S107" s="99"/>
    </row>
    <row r="108" spans="1:19" ht="21" thickBot="1">
      <c r="A108" s="89" t="s">
        <v>127</v>
      </c>
      <c r="B108" s="87"/>
      <c r="C108" s="88"/>
      <c r="D108" s="57" t="s">
        <v>105</v>
      </c>
      <c r="E108" s="57"/>
      <c r="F108" s="57"/>
      <c r="G108" s="57" t="s">
        <v>105</v>
      </c>
      <c r="H108" s="57"/>
      <c r="I108" s="57"/>
      <c r="J108" s="57"/>
      <c r="K108" s="87"/>
      <c r="L108" s="90">
        <f>+M105</f>
        <v>3476385721.4899998</v>
      </c>
      <c r="M108" s="57" t="s">
        <v>105</v>
      </c>
      <c r="N108" s="87"/>
      <c r="O108" s="87"/>
      <c r="P108" s="87"/>
      <c r="Q108" s="87" t="s">
        <v>128</v>
      </c>
      <c r="R108" s="91">
        <f>+L108/D105*100</f>
        <v>54.651559841062728</v>
      </c>
      <c r="S108" s="99"/>
    </row>
    <row r="109" spans="1:19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2"/>
      <c r="M109" s="94" t="s">
        <v>105</v>
      </c>
      <c r="N109" s="92"/>
      <c r="O109" s="92"/>
      <c r="P109" s="92"/>
      <c r="Q109" s="92" t="s">
        <v>105</v>
      </c>
      <c r="R109" s="108" t="s">
        <v>105</v>
      </c>
      <c r="S109" s="97"/>
    </row>
    <row r="110" spans="1:19" ht="20.25">
      <c r="A110" s="43"/>
      <c r="B110" s="43"/>
      <c r="C110" s="47"/>
      <c r="D110" s="43"/>
      <c r="E110" s="43"/>
      <c r="F110" s="43"/>
      <c r="G110" s="43"/>
      <c r="H110" s="43"/>
      <c r="I110" s="43"/>
      <c r="J110" s="44" t="s">
        <v>105</v>
      </c>
      <c r="K110" s="44" t="s">
        <v>105</v>
      </c>
      <c r="L110" s="43"/>
      <c r="M110" s="45" t="s">
        <v>105</v>
      </c>
      <c r="N110" s="43"/>
      <c r="O110" s="43"/>
      <c r="P110" s="43"/>
      <c r="Q110" s="45" t="s">
        <v>105</v>
      </c>
      <c r="R110" s="45" t="s">
        <v>105</v>
      </c>
      <c r="S110" s="99"/>
    </row>
    <row r="111" spans="1:19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/>
      <c r="K111" s="43" t="s">
        <v>105</v>
      </c>
      <c r="L111" s="44" t="s">
        <v>105</v>
      </c>
      <c r="M111" s="44" t="s">
        <v>105</v>
      </c>
      <c r="N111" s="43"/>
      <c r="O111" s="43"/>
      <c r="P111" s="43"/>
      <c r="Q111" s="45" t="s">
        <v>105</v>
      </c>
      <c r="R111" s="45" t="s">
        <v>105</v>
      </c>
      <c r="S111" s="99"/>
    </row>
    <row r="112" spans="1:19" ht="20.25">
      <c r="A112" s="43"/>
      <c r="B112" s="43"/>
      <c r="C112" s="47"/>
      <c r="D112" s="44" t="s">
        <v>105</v>
      </c>
      <c r="E112" s="44" t="s">
        <v>105</v>
      </c>
      <c r="F112" s="44"/>
      <c r="G112" s="44"/>
      <c r="H112" s="44"/>
      <c r="I112" s="44" t="s">
        <v>105</v>
      </c>
      <c r="J112" s="44" t="s">
        <v>105</v>
      </c>
      <c r="K112" s="44" t="s">
        <v>105</v>
      </c>
      <c r="L112" s="44" t="s">
        <v>105</v>
      </c>
      <c r="M112" s="44" t="s">
        <v>105</v>
      </c>
      <c r="N112" s="44">
        <v>450846273.26000011</v>
      </c>
      <c r="O112" s="43"/>
      <c r="P112" s="43"/>
      <c r="Q112" s="45" t="s">
        <v>105</v>
      </c>
      <c r="R112" s="44" t="s">
        <v>105</v>
      </c>
      <c r="S112" s="97"/>
    </row>
    <row r="113" spans="1:19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/>
      <c r="K113" s="43" t="s">
        <v>105</v>
      </c>
      <c r="L113" s="45" t="s">
        <v>105</v>
      </c>
      <c r="M113" s="45" t="s">
        <v>105</v>
      </c>
      <c r="N113" s="43"/>
      <c r="O113" s="43"/>
      <c r="P113" s="43"/>
      <c r="Q113" s="45" t="s">
        <v>105</v>
      </c>
      <c r="R113" s="44" t="s">
        <v>105</v>
      </c>
      <c r="S113" s="99"/>
    </row>
    <row r="114" spans="1:19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3"/>
      <c r="L114" s="45"/>
      <c r="M114" s="45" t="s">
        <v>105</v>
      </c>
      <c r="N114" s="43"/>
      <c r="O114" s="43"/>
      <c r="P114" s="43"/>
      <c r="Q114" s="45" t="s">
        <v>129</v>
      </c>
      <c r="R114" s="44" t="s">
        <v>105</v>
      </c>
      <c r="S114" s="99"/>
    </row>
    <row r="115" spans="1:19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3"/>
      <c r="L115" s="45" t="s">
        <v>105</v>
      </c>
      <c r="M115" s="45" t="s">
        <v>105</v>
      </c>
      <c r="N115" s="43"/>
      <c r="O115" s="43"/>
      <c r="P115" s="43"/>
      <c r="Q115" s="45" t="s">
        <v>105</v>
      </c>
      <c r="R115" s="44" t="s">
        <v>105</v>
      </c>
      <c r="S115" s="97"/>
    </row>
    <row r="116" spans="1:19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3"/>
      <c r="L116" s="45" t="s">
        <v>105</v>
      </c>
      <c r="M116" s="45" t="s">
        <v>129</v>
      </c>
      <c r="N116" s="43"/>
      <c r="O116" s="43"/>
      <c r="P116" s="43"/>
      <c r="Q116" s="45" t="s">
        <v>105</v>
      </c>
      <c r="R116" s="45" t="s">
        <v>105</v>
      </c>
      <c r="S116" s="97"/>
    </row>
    <row r="117" spans="1:19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3"/>
      <c r="L117" s="46" t="s">
        <v>105</v>
      </c>
      <c r="M117" s="45" t="s">
        <v>105</v>
      </c>
      <c r="N117" s="43"/>
      <c r="O117" s="43"/>
      <c r="P117" s="43"/>
      <c r="Q117" s="45" t="s">
        <v>105</v>
      </c>
      <c r="R117" s="43" t="s">
        <v>105</v>
      </c>
      <c r="S117" s="99"/>
    </row>
    <row r="118" spans="1:19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3"/>
      <c r="L118" s="45" t="s">
        <v>105</v>
      </c>
      <c r="M118" s="45" t="s">
        <v>105</v>
      </c>
      <c r="N118" s="43"/>
      <c r="O118" s="43"/>
      <c r="P118" s="43"/>
      <c r="Q118" s="45" t="s">
        <v>105</v>
      </c>
      <c r="R118" s="43"/>
      <c r="S118" s="97"/>
    </row>
    <row r="119" spans="1:19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/>
      <c r="M119" s="43" t="s">
        <v>105</v>
      </c>
      <c r="N119" s="43"/>
      <c r="O119" s="43"/>
      <c r="P119" s="43"/>
      <c r="Q119" s="45" t="s">
        <v>105</v>
      </c>
      <c r="R119" s="43"/>
      <c r="S119" s="97"/>
    </row>
    <row r="120" spans="1:19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3"/>
      <c r="M120" s="45" t="s">
        <v>105</v>
      </c>
      <c r="N120" s="43"/>
      <c r="O120" s="43"/>
      <c r="P120" s="43"/>
      <c r="Q120" s="45" t="s">
        <v>105</v>
      </c>
      <c r="R120" s="43"/>
      <c r="S120" s="97"/>
    </row>
    <row r="121" spans="1:19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3"/>
      <c r="M121" s="45" t="s">
        <v>105</v>
      </c>
      <c r="N121" s="43"/>
      <c r="O121" s="43"/>
      <c r="P121" s="43"/>
      <c r="Q121" s="45" t="s">
        <v>105</v>
      </c>
      <c r="R121" s="43"/>
      <c r="S121" s="97"/>
    </row>
    <row r="122" spans="1:19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5" t="s">
        <v>105</v>
      </c>
      <c r="R122" s="43"/>
      <c r="S122" s="97"/>
    </row>
    <row r="123" spans="1:19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5" t="s">
        <v>105</v>
      </c>
      <c r="R123" s="43"/>
    </row>
    <row r="124" spans="1:19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5" t="s">
        <v>105</v>
      </c>
      <c r="R124" s="43"/>
    </row>
    <row r="125" spans="1:19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5" t="s">
        <v>105</v>
      </c>
      <c r="R125" s="43"/>
    </row>
    <row r="126" spans="1:19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5" t="s">
        <v>105</v>
      </c>
      <c r="R126" s="43"/>
    </row>
    <row r="127" spans="1:19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5" t="s">
        <v>105</v>
      </c>
      <c r="R127" s="43"/>
    </row>
    <row r="128" spans="1:19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1:18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1:18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1:18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1:18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1:18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1:18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1:18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1:18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1:18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1:18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1:18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1:18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1:18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1:18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18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1:18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18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:18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:18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:18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:18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:18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:18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8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:18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:18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:18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:18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:18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1:18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1:18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1:18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1:18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:18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workbookViewId="0">
      <selection activeCell="J56" sqref="J56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8" width="13.85546875" customWidth="1"/>
    <col min="9" max="9" width="11.42578125" customWidth="1"/>
    <col min="10" max="10" width="14" customWidth="1"/>
    <col min="11" max="11" width="13" customWidth="1"/>
    <col min="12" max="12" width="12.140625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130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40" t="s">
        <v>131</v>
      </c>
      <c r="E3" s="10" t="s">
        <v>132</v>
      </c>
      <c r="F3" s="11" t="s">
        <v>133</v>
      </c>
      <c r="G3" s="12" t="s">
        <v>134</v>
      </c>
      <c r="H3" s="13" t="s">
        <v>135</v>
      </c>
      <c r="I3" s="14" t="s">
        <v>136</v>
      </c>
      <c r="J3" s="15" t="s">
        <v>137</v>
      </c>
      <c r="K3" s="10" t="s">
        <v>138</v>
      </c>
      <c r="L3" s="12" t="s">
        <v>139</v>
      </c>
      <c r="M3" s="16" t="s">
        <v>140</v>
      </c>
      <c r="N3" s="17" t="s">
        <v>141</v>
      </c>
      <c r="O3" s="18" t="s">
        <v>142</v>
      </c>
      <c r="P3" s="7"/>
    </row>
    <row r="4" spans="1:16">
      <c r="A4" s="19" t="s">
        <v>143</v>
      </c>
      <c r="B4" s="20" t="s">
        <v>144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145</v>
      </c>
      <c r="B5" s="23" t="s">
        <v>146</v>
      </c>
      <c r="C5" s="24" t="s">
        <v>105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147</v>
      </c>
      <c r="C6" s="24">
        <v>1563459000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>
        <f>55082087.86+55714031.11</f>
        <v>110796118.97</v>
      </c>
      <c r="I6" s="7">
        <f>54948673.98+55350575.34</f>
        <v>110299249.31999999</v>
      </c>
      <c r="J6" s="7">
        <f>55317536.67+54889535</f>
        <v>110207071.67</v>
      </c>
      <c r="K6" s="7">
        <f>54663776.67+55535505</f>
        <v>110199281.67</v>
      </c>
      <c r="L6" s="7"/>
      <c r="M6" s="7"/>
      <c r="N6" s="7"/>
      <c r="O6" s="7"/>
      <c r="P6" s="7"/>
    </row>
    <row r="7" spans="1:16">
      <c r="A7" s="25">
        <v>103</v>
      </c>
      <c r="B7" s="26" t="s">
        <v>148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149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150</v>
      </c>
      <c r="B9" s="23" t="s">
        <v>151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152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>
        <v>874069</v>
      </c>
      <c r="I10" s="7">
        <v>1040347</v>
      </c>
      <c r="J10" s="7">
        <v>1027404</v>
      </c>
      <c r="K10" s="7">
        <v>1192646</v>
      </c>
      <c r="L10" s="7"/>
      <c r="M10" s="7"/>
      <c r="N10" s="7"/>
      <c r="O10" s="7"/>
      <c r="P10" s="7"/>
    </row>
    <row r="11" spans="1:16">
      <c r="A11" s="25">
        <v>202</v>
      </c>
      <c r="B11" s="26" t="s">
        <v>153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154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155</v>
      </c>
      <c r="B13" s="23" t="s">
        <v>156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157</v>
      </c>
      <c r="C14" s="24">
        <v>1047200000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>
        <f>37443063+38413484.67</f>
        <v>75856547.670000002</v>
      </c>
      <c r="I14" s="7">
        <f>38064274.66+38352979.67</f>
        <v>76417254.329999998</v>
      </c>
      <c r="J14" s="7">
        <f>38575868+38137548</f>
        <v>76713416</v>
      </c>
      <c r="K14" s="7">
        <f>38178163+38912334.67</f>
        <v>77090497.670000002</v>
      </c>
      <c r="L14" s="7"/>
      <c r="M14" s="7"/>
      <c r="N14" s="7"/>
      <c r="O14" s="7"/>
      <c r="P14" s="7"/>
    </row>
    <row r="15" spans="1:16">
      <c r="A15" s="25">
        <v>302</v>
      </c>
      <c r="B15" s="26" t="s">
        <v>158</v>
      </c>
      <c r="C15" s="24">
        <v>852000000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>
        <f>29603558.92+30061218.5</f>
        <v>59664777.420000002</v>
      </c>
      <c r="I15" s="7">
        <f>29685517.43+29882731.75</f>
        <v>59568249.18</v>
      </c>
      <c r="J15" s="7">
        <f>30183388.17+29976174.67</f>
        <v>60159562.840000004</v>
      </c>
      <c r="K15" s="7">
        <f>29657033.33+30207833.59</f>
        <v>59864866.920000002</v>
      </c>
      <c r="L15" s="7"/>
      <c r="M15" s="7"/>
      <c r="N15" s="7"/>
      <c r="O15" s="7"/>
      <c r="P15" s="7"/>
    </row>
    <row r="16" spans="1:16">
      <c r="A16" s="25">
        <v>303</v>
      </c>
      <c r="B16" s="26" t="s">
        <v>159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>
      <c r="A17" s="25">
        <v>304</v>
      </c>
      <c r="B17" s="26" t="s">
        <v>160</v>
      </c>
      <c r="C17" s="24">
        <v>280100000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161</v>
      </c>
      <c r="C18" s="24">
        <v>444520000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>
        <f>8390400.5+241146.5+6802111.13+8547843.8+241146.5+6913522.75</f>
        <v>31136171.18</v>
      </c>
      <c r="I18" s="7">
        <f>8524810.75+241146.5+6820398.53+8529015.79+241146.5+6872962.17</f>
        <v>31229480.240000002</v>
      </c>
      <c r="J18" s="7">
        <f>241146.5+6924013.25+8634748.17+8547654.38+241146.5+6887927.38</f>
        <v>31476636.18</v>
      </c>
      <c r="K18" s="7">
        <f>6810764.92+241146.5+8444573.83+8605843.18+241146.5+6943598.43</f>
        <v>31287073.359999999</v>
      </c>
      <c r="L18" s="7"/>
      <c r="M18" s="7"/>
      <c r="N18" s="7"/>
      <c r="O18" s="7"/>
      <c r="P18" s="7"/>
    </row>
    <row r="19" spans="1:17">
      <c r="A19" s="22" t="s">
        <v>162</v>
      </c>
      <c r="B19" s="23" t="s">
        <v>163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164</v>
      </c>
      <c r="C20" s="24">
        <v>388896000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>
        <v>25554055</v>
      </c>
      <c r="I20" s="7">
        <v>25745311</v>
      </c>
      <c r="J20" s="7">
        <v>25766298</v>
      </c>
      <c r="K20" s="7">
        <v>25861528</v>
      </c>
      <c r="L20" s="7"/>
      <c r="M20" s="7"/>
      <c r="N20" s="7"/>
      <c r="O20" s="7"/>
      <c r="P20" s="7"/>
    </row>
    <row r="21" spans="1:17">
      <c r="A21" s="25">
        <v>402</v>
      </c>
      <c r="B21" s="26" t="s">
        <v>165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166</v>
      </c>
      <c r="C22" s="24">
        <v>21021000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>
        <v>1381299</v>
      </c>
      <c r="I22" s="7">
        <v>1391637</v>
      </c>
      <c r="J22" s="7">
        <v>1392774</v>
      </c>
      <c r="K22" s="7">
        <v>1397920</v>
      </c>
      <c r="L22" s="7"/>
      <c r="M22" s="7"/>
      <c r="N22" s="7"/>
      <c r="O22" s="7"/>
      <c r="P22" s="7"/>
    </row>
    <row r="23" spans="1:17">
      <c r="A23" s="22" t="s">
        <v>167</v>
      </c>
      <c r="B23" s="23" t="s">
        <v>168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169</v>
      </c>
      <c r="C24" s="24">
        <v>213577000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>
        <v>13904751</v>
      </c>
      <c r="I24" s="7">
        <v>14009787</v>
      </c>
      <c r="J24" s="7">
        <v>14021313</v>
      </c>
      <c r="K24" s="7">
        <v>14073612</v>
      </c>
      <c r="L24" s="7"/>
      <c r="M24" s="7"/>
      <c r="N24" s="7"/>
      <c r="O24" s="7"/>
      <c r="P24" s="7"/>
    </row>
    <row r="25" spans="1:17">
      <c r="A25" s="25">
        <v>502</v>
      </c>
      <c r="B25" s="26" t="s">
        <v>170</v>
      </c>
      <c r="C25" s="24">
        <v>63064000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>
        <v>4143895</v>
      </c>
      <c r="I25" s="7">
        <v>4174915</v>
      </c>
      <c r="J25" s="7">
        <v>4178313</v>
      </c>
      <c r="K25" s="7">
        <v>4193760</v>
      </c>
      <c r="L25" s="7"/>
      <c r="M25" s="7"/>
      <c r="N25" s="7"/>
      <c r="O25" s="7"/>
      <c r="P25" s="7"/>
    </row>
    <row r="26" spans="1:17">
      <c r="A26" s="25">
        <v>503</v>
      </c>
      <c r="B26" s="26" t="s">
        <v>171</v>
      </c>
      <c r="C26" s="24">
        <v>126128000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>
        <v>8287801</v>
      </c>
      <c r="I26" s="7">
        <v>8349834</v>
      </c>
      <c r="J26" s="7">
        <v>8356639</v>
      </c>
      <c r="K26" s="7">
        <v>8387524</v>
      </c>
      <c r="L26" s="7"/>
      <c r="M26" s="7"/>
      <c r="N26" s="7"/>
      <c r="O26" s="7"/>
      <c r="P26" s="7"/>
    </row>
    <row r="27" spans="1:17">
      <c r="A27" s="25">
        <v>505</v>
      </c>
      <c r="B27" s="26" t="s">
        <v>172</v>
      </c>
      <c r="C27" s="24">
        <v>130000000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>
        <f>11306959.78+11095598.57</f>
        <v>22402558.350000001</v>
      </c>
      <c r="J27" s="7">
        <v>11291973.390000001</v>
      </c>
      <c r="K27" s="7">
        <v>11524598.529999999</v>
      </c>
      <c r="L27" s="7"/>
      <c r="M27" s="7"/>
      <c r="N27" s="7"/>
      <c r="O27" s="7"/>
      <c r="P27" s="7"/>
      <c r="Q27" t="s">
        <v>105</v>
      </c>
    </row>
    <row r="28" spans="1:17">
      <c r="A28" s="22" t="s">
        <v>173</v>
      </c>
      <c r="B28" s="23" t="s">
        <v>174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175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176</v>
      </c>
      <c r="B31" s="20" t="s">
        <v>177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178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179</v>
      </c>
      <c r="C33" s="24">
        <v>62350000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>
        <f>72010.2+480953+55000+68400+770000+809570+41950</f>
        <v>2297883.2000000002</v>
      </c>
      <c r="I33" s="7">
        <f>309000+72010.2+770000+55000+809570+309000+480953+480953+728108.7+20900+55000</f>
        <v>4090494.9000000004</v>
      </c>
      <c r="J33" s="7">
        <f>728108.7+770000+72010.2+809570+81700+309000+728108.7</f>
        <v>3498497.5999999996</v>
      </c>
      <c r="K33" s="7">
        <f>728108.7+309000+72010+480953+770000+809570+55000+309000+55000</f>
        <v>3588641.7</v>
      </c>
      <c r="L33" s="7"/>
      <c r="M33" s="7"/>
      <c r="N33" s="7"/>
      <c r="O33" s="7"/>
      <c r="P33" s="7"/>
    </row>
    <row r="34" spans="1:16">
      <c r="A34" s="25">
        <v>10102</v>
      </c>
      <c r="B34" s="26" t="s">
        <v>180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181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182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183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28">
        <v>102</v>
      </c>
      <c r="B38" s="23" t="s">
        <v>184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185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>
        <f>7356+7356+42880+7356+2848940+28136+31610+2568782+7356+9434</f>
        <v>5559206</v>
      </c>
      <c r="J39" s="7">
        <f>9434+4660+2552924+7356+11512</f>
        <v>2585886</v>
      </c>
      <c r="K39" s="7">
        <f>23980+3330+1863101+9434+9434</f>
        <v>1909279</v>
      </c>
      <c r="L39" s="7"/>
      <c r="M39" s="7"/>
      <c r="N39" s="7"/>
      <c r="O39" s="7"/>
      <c r="P39" s="7"/>
    </row>
    <row r="40" spans="1:16">
      <c r="A40" s="25">
        <v>10202</v>
      </c>
      <c r="B40" s="26" t="s">
        <v>186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>
        <f>82475+55260+47325+85325+30478.69+142615+1452920</f>
        <v>1896398.69</v>
      </c>
      <c r="H40" s="7">
        <f>85925+92210+55770+74680+60740+1494715+28141.19</f>
        <v>1892181.19</v>
      </c>
      <c r="I40" s="7">
        <f>98975+1430885+83790+65295+74130+22078.73+68885</f>
        <v>1844038.73</v>
      </c>
      <c r="J40" s="7">
        <f>106570+69285+59210+85585+1788120+31092.48+87055+62660</f>
        <v>2289577.48</v>
      </c>
      <c r="K40" s="7">
        <f>95115+71700+54665+1511485+30625.93+61810</f>
        <v>1825400.93</v>
      </c>
      <c r="L40" s="7"/>
      <c r="M40" s="7"/>
      <c r="N40" s="7"/>
      <c r="O40" s="7"/>
      <c r="P40" s="7"/>
    </row>
    <row r="41" spans="1:16">
      <c r="A41" s="25">
        <v>10203</v>
      </c>
      <c r="B41" s="26" t="s">
        <v>187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>
        <f>722360+588630</f>
        <v>1310990</v>
      </c>
      <c r="I41" s="7">
        <v>740665</v>
      </c>
      <c r="J41" s="7"/>
      <c r="K41" s="7">
        <v>716840</v>
      </c>
      <c r="L41" s="7"/>
      <c r="M41" s="7"/>
      <c r="N41" s="7"/>
      <c r="O41" s="7"/>
      <c r="P41" s="7"/>
    </row>
    <row r="42" spans="1:16">
      <c r="A42" s="25">
        <v>10204</v>
      </c>
      <c r="B42" s="26" t="s">
        <v>188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</f>
        <v>7837748.0300000003</v>
      </c>
      <c r="G42" s="7">
        <f>190718.85+3014141+154624+183606+171828</f>
        <v>3714917.85</v>
      </c>
      <c r="H42" s="7">
        <f>170664+682431+705555+340058.68+190383.85+3012234+151220+182499</f>
        <v>5435045.5300000003</v>
      </c>
      <c r="I42" s="7">
        <f>170817+742113+3009701+156383+183079+190537.95</f>
        <v>4452630.95</v>
      </c>
      <c r="J42" s="7">
        <f>170631+3425361+168879+184491+708469+190976.8</f>
        <v>4848807.8</v>
      </c>
      <c r="K42" s="7"/>
      <c r="L42" s="7"/>
      <c r="M42" s="7"/>
      <c r="N42" s="7"/>
      <c r="O42" s="7"/>
      <c r="P42" s="7"/>
    </row>
    <row r="43" spans="1:16">
      <c r="A43" s="25">
        <v>10299</v>
      </c>
      <c r="B43" s="26" t="s">
        <v>189</v>
      </c>
      <c r="C43" s="24">
        <v>1500000</v>
      </c>
      <c r="D43" s="7">
        <v>15776.1</v>
      </c>
      <c r="E43" s="7">
        <f>26436.1+363397.1</f>
        <v>389833.19999999995</v>
      </c>
      <c r="F43" s="7">
        <f>35497.1</f>
        <v>35497.1</v>
      </c>
      <c r="G43" s="7">
        <v>36030.1</v>
      </c>
      <c r="H43" s="7">
        <f>26969.1+363397.1</f>
        <v>390366.19999999995</v>
      </c>
      <c r="I43" s="7">
        <v>20040.099999999999</v>
      </c>
      <c r="J43" s="7">
        <v>18126.8</v>
      </c>
      <c r="K43" s="7">
        <v>18667.599999999999</v>
      </c>
      <c r="L43" s="7"/>
      <c r="M43" s="7"/>
      <c r="N43" s="7"/>
      <c r="O43" s="7"/>
      <c r="P43" s="7"/>
    </row>
    <row r="44" spans="1:16">
      <c r="A44" s="28">
        <v>103</v>
      </c>
      <c r="B44" s="23" t="s">
        <v>190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191</v>
      </c>
      <c r="C45" s="24">
        <v>6000000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>
        <v>292560</v>
      </c>
      <c r="I45" s="7"/>
      <c r="J45" s="7">
        <f>97390+94280</f>
        <v>191670</v>
      </c>
      <c r="K45" s="7"/>
      <c r="L45" s="7"/>
      <c r="M45" s="7"/>
      <c r="N45" s="7"/>
      <c r="O45" s="7"/>
      <c r="P45" s="7"/>
    </row>
    <row r="46" spans="1:16">
      <c r="A46" s="25">
        <v>10302</v>
      </c>
      <c r="B46" s="26" t="s">
        <v>192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193</v>
      </c>
      <c r="C47" s="24">
        <v>4000000</v>
      </c>
      <c r="D47" s="7">
        <v>398526.71999999997</v>
      </c>
      <c r="E47" s="7"/>
      <c r="F47" s="7"/>
      <c r="G47" s="7"/>
      <c r="H47" s="7">
        <v>23724</v>
      </c>
      <c r="I47" s="7">
        <v>19500</v>
      </c>
      <c r="J47" s="7">
        <v>66000</v>
      </c>
      <c r="K47" s="7"/>
      <c r="L47" s="7"/>
      <c r="M47" s="7"/>
      <c r="N47" s="7"/>
      <c r="O47" s="7"/>
      <c r="P47" s="7"/>
    </row>
    <row r="48" spans="1:16">
      <c r="A48" s="25">
        <v>10304</v>
      </c>
      <c r="B48" s="26" t="s">
        <v>194</v>
      </c>
      <c r="C48" s="24">
        <v>250000</v>
      </c>
      <c r="D48" s="7"/>
      <c r="E48" s="7">
        <v>75000</v>
      </c>
      <c r="F48" s="7">
        <v>3000</v>
      </c>
      <c r="G48" s="7"/>
      <c r="H48" s="7">
        <f>1000+1300</f>
        <v>2300</v>
      </c>
      <c r="I48" s="7"/>
      <c r="J48" s="7">
        <v>2300</v>
      </c>
      <c r="K48" s="7"/>
      <c r="L48" s="7"/>
      <c r="M48" s="7"/>
      <c r="N48" s="7"/>
      <c r="O48" s="7"/>
      <c r="P48" s="7"/>
    </row>
    <row r="49" spans="1:16">
      <c r="A49" s="25">
        <v>10306</v>
      </c>
      <c r="B49" s="26" t="s">
        <v>195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>
        <v>458004.4</v>
      </c>
      <c r="I49" s="7">
        <v>56877</v>
      </c>
      <c r="J49" s="7">
        <v>93401.9</v>
      </c>
      <c r="K49" s="7">
        <v>857774</v>
      </c>
      <c r="L49" s="7"/>
      <c r="M49" s="7"/>
      <c r="N49" s="7"/>
      <c r="O49" s="7"/>
      <c r="P49" s="7"/>
    </row>
    <row r="50" spans="1:16">
      <c r="A50" s="25">
        <v>10307</v>
      </c>
      <c r="B50" s="26" t="s">
        <v>196</v>
      </c>
      <c r="C50" s="24">
        <v>18500000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>
        <v>788807.58</v>
      </c>
      <c r="I50" s="7">
        <v>1131038</v>
      </c>
      <c r="J50" s="7"/>
      <c r="K50" s="7">
        <v>1650500.81</v>
      </c>
      <c r="L50" s="7"/>
      <c r="M50" s="7"/>
      <c r="N50" s="7"/>
      <c r="O50" s="7"/>
      <c r="P50" s="7"/>
    </row>
    <row r="51" spans="1:16">
      <c r="A51" s="28">
        <v>104</v>
      </c>
      <c r="B51" s="23" t="s">
        <v>197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198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199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200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201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25">
        <v>10405</v>
      </c>
      <c r="B56" s="26" t="s">
        <v>202</v>
      </c>
      <c r="C56" s="24">
        <v>96000000</v>
      </c>
      <c r="D56" s="7"/>
      <c r="E56" s="7"/>
      <c r="F56" s="7"/>
      <c r="G56" s="7"/>
      <c r="H56" s="7">
        <v>1091000</v>
      </c>
      <c r="I56" s="7"/>
      <c r="J56" s="7"/>
      <c r="K56" s="7"/>
      <c r="L56" s="7"/>
      <c r="M56" s="7"/>
      <c r="N56" s="7"/>
      <c r="O56" s="7"/>
      <c r="P56" s="7"/>
    </row>
    <row r="57" spans="1:16">
      <c r="A57" s="25">
        <v>10406</v>
      </c>
      <c r="B57" s="26" t="s">
        <v>203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>
        <f>20000+414287.15+75000+131627.72+36791.5+131627.72+36791.5+4968958.4+4968958.4+26300</f>
        <v>10810342.390000001</v>
      </c>
      <c r="I57" s="7">
        <f>20000+435794+170000+411534.37+83500+4968958.4+4968958.4+2916339.6</f>
        <v>13975084.770000001</v>
      </c>
      <c r="J57" s="7">
        <f>14509+2916339.6+36791.5+131627.72</f>
        <v>3099267.8200000003</v>
      </c>
      <c r="K57" s="7">
        <f>20000+131627.72+36791.5+412291.81</f>
        <v>600711.03</v>
      </c>
      <c r="L57" s="7"/>
      <c r="M57" s="7"/>
      <c r="N57" s="7"/>
      <c r="O57" s="7"/>
      <c r="P57" s="7"/>
    </row>
    <row r="58" spans="1:16">
      <c r="A58" s="25">
        <v>10499</v>
      </c>
      <c r="B58" s="26" t="s">
        <v>204</v>
      </c>
      <c r="C58" s="24">
        <v>6000000</v>
      </c>
      <c r="D58" s="7">
        <v>12160</v>
      </c>
      <c r="E58" s="7" t="s">
        <v>105</v>
      </c>
      <c r="F58" s="7">
        <v>200000</v>
      </c>
      <c r="G58" s="7">
        <f>24320+200000</f>
        <v>224320</v>
      </c>
      <c r="H58" s="7">
        <f>42560+200000+256300+25565</f>
        <v>524425</v>
      </c>
      <c r="I58" s="7"/>
      <c r="J58" s="7">
        <f>200000+200000+60215</f>
        <v>460215</v>
      </c>
      <c r="K58" s="7"/>
      <c r="L58" s="7"/>
      <c r="M58" s="7"/>
      <c r="N58" s="7"/>
      <c r="O58" s="7"/>
      <c r="P58" s="7"/>
    </row>
    <row r="59" spans="1:16">
      <c r="A59" s="28">
        <v>105</v>
      </c>
      <c r="B59" s="23" t="s">
        <v>205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206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>
        <f>40530+2705+4360+4360+90620</f>
        <v>142575</v>
      </c>
      <c r="I60" s="7">
        <f>12410+4600+4360+7170+61590+4360+4780</f>
        <v>99270</v>
      </c>
      <c r="J60" s="7">
        <f>4360+7900+8200+7020+7020+120060+4360</f>
        <v>158920</v>
      </c>
      <c r="K60" s="7">
        <f>6840+8200</f>
        <v>15040</v>
      </c>
      <c r="L60" s="7"/>
      <c r="M60" s="7"/>
      <c r="N60" s="7"/>
      <c r="O60" s="7"/>
      <c r="P60" s="7"/>
    </row>
    <row r="61" spans="1:16">
      <c r="A61" s="25">
        <v>10502</v>
      </c>
      <c r="B61" s="26" t="s">
        <v>207</v>
      </c>
      <c r="C61" s="24">
        <v>25000000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>
        <f>13500+16700+481000+10300+27000+5150+87950+53300+28950+5150+8350+41200+18650+87950+79600+8350+8350+8350+13500+68750+8350+48150+759450</f>
        <v>1888000</v>
      </c>
      <c r="I61" s="7">
        <f>8350+87950+66800+32900+44400+16700+8350+44950+37500+34300+102250+73350+36700+1756300+8350+8350+41250+80300+41250</f>
        <v>2530300</v>
      </c>
      <c r="J61" s="7">
        <f>5150+8350+44950+5150+13500+5150+8350+38950+38950+868450+36650+42450+43000</f>
        <v>1159050</v>
      </c>
      <c r="K61" s="7">
        <f>44950+77300+38550+8350+39850+43000+8350+33950+48150+53300+41250</f>
        <v>437000</v>
      </c>
      <c r="L61" s="7"/>
      <c r="M61" s="7"/>
      <c r="N61" s="7"/>
      <c r="O61" s="7"/>
      <c r="P61" s="7"/>
    </row>
    <row r="62" spans="1:16">
      <c r="A62" s="25">
        <v>10503</v>
      </c>
      <c r="B62" s="26" t="s">
        <v>208</v>
      </c>
      <c r="C62" s="24">
        <v>3000000</v>
      </c>
      <c r="D62" s="9"/>
      <c r="E62" s="7"/>
      <c r="F62" s="7"/>
      <c r="G62" s="7">
        <v>56869</v>
      </c>
      <c r="H62" s="7">
        <f>228218.15+280204.21+1089231.47</f>
        <v>1597653.83</v>
      </c>
      <c r="I62" s="7"/>
      <c r="J62" s="7"/>
      <c r="K62" s="7"/>
      <c r="L62" s="7"/>
      <c r="M62" s="7"/>
      <c r="N62" s="7"/>
      <c r="O62" s="7"/>
      <c r="P62" s="7"/>
    </row>
    <row r="63" spans="1:16">
      <c r="A63" s="25">
        <v>10504</v>
      </c>
      <c r="B63" s="26" t="s">
        <v>209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28">
        <v>106</v>
      </c>
      <c r="B64" s="23" t="s">
        <v>210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211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>
        <v>6962583</v>
      </c>
      <c r="K65" s="7"/>
      <c r="L65" s="7"/>
      <c r="M65" s="7"/>
      <c r="N65" s="7"/>
      <c r="O65" s="7"/>
      <c r="P65" s="7"/>
    </row>
    <row r="66" spans="1:16">
      <c r="A66" s="28">
        <v>107</v>
      </c>
      <c r="B66" s="23" t="s">
        <v>212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213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>
        <f>7680+307427.4+31108</f>
        <v>346215.4</v>
      </c>
      <c r="I67" s="7">
        <f>144748.2+29730</f>
        <v>174478.2</v>
      </c>
      <c r="J67" s="7">
        <f>350000+16466.63+135000</f>
        <v>501466.63</v>
      </c>
      <c r="K67" s="7">
        <v>233100</v>
      </c>
      <c r="L67" s="7"/>
      <c r="M67" s="7"/>
      <c r="N67" s="7"/>
      <c r="O67" s="7"/>
      <c r="P67" s="7"/>
    </row>
    <row r="68" spans="1:16">
      <c r="A68" s="25">
        <v>10702</v>
      </c>
      <c r="B68" s="26" t="s">
        <v>214</v>
      </c>
      <c r="C68" s="24">
        <v>3000000</v>
      </c>
      <c r="D68" s="7"/>
      <c r="E68" s="7"/>
      <c r="F68" s="7">
        <v>14520</v>
      </c>
      <c r="G68" s="7">
        <v>49500</v>
      </c>
      <c r="H68" s="7">
        <v>135000</v>
      </c>
      <c r="I68" s="7">
        <f>3750+69000</f>
        <v>72750</v>
      </c>
      <c r="J68" s="7"/>
      <c r="K68" s="7"/>
      <c r="L68" s="7"/>
      <c r="M68" s="7"/>
      <c r="N68" s="7"/>
      <c r="O68" s="7"/>
      <c r="P68" s="7"/>
    </row>
    <row r="69" spans="1:16">
      <c r="A69" s="25">
        <v>10703</v>
      </c>
      <c r="B69" s="26" t="s">
        <v>215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216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217</v>
      </c>
      <c r="C71" s="24">
        <v>27000000</v>
      </c>
      <c r="D71" s="7"/>
      <c r="E71" s="7"/>
      <c r="F71" s="7"/>
      <c r="G71" s="7"/>
      <c r="H71" s="7">
        <f>4470900+5000</f>
        <v>4475900</v>
      </c>
      <c r="I71" s="7"/>
      <c r="J71" s="7"/>
      <c r="K71" s="7">
        <v>100000</v>
      </c>
      <c r="L71" s="7"/>
      <c r="M71" s="7"/>
      <c r="N71" s="7"/>
      <c r="O71" s="7"/>
      <c r="P71" s="7"/>
    </row>
    <row r="72" spans="1:16">
      <c r="A72" s="25">
        <v>10804</v>
      </c>
      <c r="B72" s="26" t="s">
        <v>218</v>
      </c>
      <c r="C72" s="24">
        <v>5600000</v>
      </c>
      <c r="D72" s="7"/>
      <c r="E72" s="7"/>
      <c r="F72" s="7"/>
      <c r="G72" s="7"/>
      <c r="H72" s="7"/>
      <c r="I72" s="7"/>
      <c r="J72" s="7"/>
      <c r="K72" s="7">
        <v>1591597.5</v>
      </c>
      <c r="L72" s="7"/>
      <c r="M72" s="7"/>
      <c r="N72" s="7"/>
      <c r="O72" s="7"/>
      <c r="P72" s="7"/>
    </row>
    <row r="73" spans="1:16">
      <c r="A73" s="25">
        <v>10805</v>
      </c>
      <c r="B73" s="26" t="s">
        <v>219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>
        <f>16115+15000+24685+16000+15000+16000+15000+108063+37360+15000+16000+30840</f>
        <v>325063</v>
      </c>
      <c r="I73" s="7">
        <f>35885+16000+15000+16385+15000+16000+58275+16000+27885+29960+16000+15000+108063+76563+16000+15000+23085</f>
        <v>516101</v>
      </c>
      <c r="J73" s="7">
        <f>8000+15000+16000+16000+15000+23085+140061.38+16000+15000+20575</f>
        <v>284721.38</v>
      </c>
      <c r="K73" s="7">
        <f>271380+156800+110000+150500+96174.96</f>
        <v>784854.96</v>
      </c>
      <c r="L73" s="7"/>
      <c r="M73" s="7"/>
      <c r="N73" s="7"/>
      <c r="O73" s="7"/>
      <c r="P73" s="7"/>
    </row>
    <row r="74" spans="1:16">
      <c r="A74" s="25">
        <v>10806</v>
      </c>
      <c r="B74" s="26" t="s">
        <v>220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25">
        <v>10807</v>
      </c>
      <c r="B75" s="26" t="s">
        <v>221</v>
      </c>
      <c r="C75" s="24">
        <v>3500000</v>
      </c>
      <c r="D75" s="7"/>
      <c r="E75" s="7"/>
      <c r="F75" s="7">
        <v>22893.599999999999</v>
      </c>
      <c r="G75" s="7">
        <v>253000</v>
      </c>
      <c r="H75" s="7">
        <f>385500+725865.66</f>
        <v>1111365.6600000001</v>
      </c>
      <c r="I75" s="7">
        <v>15000</v>
      </c>
      <c r="J75" s="7"/>
      <c r="K75" s="7"/>
      <c r="L75" s="7"/>
      <c r="M75" s="7"/>
      <c r="N75" s="7"/>
      <c r="O75" s="7"/>
      <c r="P75" s="7"/>
    </row>
    <row r="76" spans="1:16">
      <c r="A76" s="25">
        <v>10808</v>
      </c>
      <c r="B76" s="26" t="s">
        <v>222</v>
      </c>
      <c r="C76" s="24">
        <v>2500000</v>
      </c>
      <c r="D76" s="7">
        <v>28647</v>
      </c>
      <c r="E76" s="7"/>
      <c r="F76" s="7"/>
      <c r="G76" s="7"/>
      <c r="H76" s="7"/>
      <c r="I76" s="7">
        <v>824141.84</v>
      </c>
      <c r="J76" s="7"/>
      <c r="K76" s="7"/>
      <c r="L76" s="7"/>
      <c r="M76" s="7"/>
      <c r="N76" s="7"/>
      <c r="O76" s="7"/>
      <c r="P76" s="7"/>
    </row>
    <row r="77" spans="1:16">
      <c r="A77" s="25">
        <v>10899</v>
      </c>
      <c r="B77" s="26" t="s">
        <v>223</v>
      </c>
      <c r="C77" s="24">
        <v>150000</v>
      </c>
      <c r="D77" s="7"/>
      <c r="E77" s="7"/>
      <c r="F77" s="7"/>
      <c r="G77" s="7"/>
      <c r="H77" s="7"/>
      <c r="I77" s="7"/>
      <c r="J77" s="7">
        <v>100221.24</v>
      </c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224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225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28">
        <v>199</v>
      </c>
      <c r="B80" s="23" t="s">
        <v>226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227</v>
      </c>
      <c r="C81" s="24">
        <v>500000</v>
      </c>
      <c r="D81" s="7"/>
      <c r="E81" s="7"/>
      <c r="F81" s="7"/>
      <c r="G81" s="7"/>
      <c r="H81" s="7"/>
      <c r="I81" s="7"/>
      <c r="J81" s="7"/>
      <c r="K81" s="7">
        <v>150000</v>
      </c>
      <c r="L81" s="7"/>
      <c r="M81" s="7"/>
      <c r="N81" s="7"/>
      <c r="O81" s="7"/>
      <c r="P81" s="7"/>
    </row>
    <row r="82" spans="1:16">
      <c r="A82" s="25">
        <v>19902</v>
      </c>
      <c r="B82" s="26" t="s">
        <v>228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229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230</v>
      </c>
      <c r="B87" s="20" t="s">
        <v>231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232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233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>
        <v>5938</v>
      </c>
      <c r="K89" s="7"/>
      <c r="L89" s="7"/>
      <c r="M89" s="7"/>
      <c r="N89" s="7"/>
      <c r="O89" s="7"/>
      <c r="P89" s="7"/>
    </row>
    <row r="90" spans="1:16">
      <c r="A90" s="25">
        <v>20102</v>
      </c>
      <c r="B90" s="26" t="s">
        <v>234</v>
      </c>
      <c r="C90" s="24">
        <v>1500000</v>
      </c>
      <c r="D90" s="7"/>
      <c r="E90" s="7"/>
      <c r="F90" s="7"/>
      <c r="G90" s="7"/>
      <c r="H90" s="7"/>
      <c r="I90" s="7"/>
      <c r="J90" s="7">
        <f>29300+253275+19800+201918.26</f>
        <v>504293.26</v>
      </c>
      <c r="K90" s="7">
        <f>5021.97+707700</f>
        <v>712721.97</v>
      </c>
      <c r="L90" s="7"/>
      <c r="M90" s="7"/>
      <c r="N90" s="7"/>
      <c r="O90" s="7"/>
      <c r="P90" s="7"/>
    </row>
    <row r="91" spans="1:16">
      <c r="A91" s="25">
        <v>20104</v>
      </c>
      <c r="B91" s="26" t="s">
        <v>235</v>
      </c>
      <c r="C91" s="24">
        <v>10000000</v>
      </c>
      <c r="D91" s="7"/>
      <c r="E91" s="7"/>
      <c r="F91" s="7"/>
      <c r="G91" s="7"/>
      <c r="H91" s="7">
        <v>25050.18</v>
      </c>
      <c r="I91" s="7">
        <v>127887.76</v>
      </c>
      <c r="J91" s="7">
        <f>50600+675587.64+77400+25945.94+109782.99</f>
        <v>939316.57</v>
      </c>
      <c r="K91" s="7">
        <f>4388262.04+396017.95+320989.6</f>
        <v>5105269.59</v>
      </c>
      <c r="L91" s="7"/>
      <c r="M91" s="7"/>
      <c r="N91" s="7"/>
      <c r="O91" s="7"/>
      <c r="P91" s="7"/>
    </row>
    <row r="92" spans="1:16">
      <c r="A92" s="25">
        <v>20199</v>
      </c>
      <c r="B92" s="26" t="s">
        <v>236</v>
      </c>
      <c r="C92" s="24">
        <v>200000</v>
      </c>
      <c r="D92" s="7">
        <v>37029.980000000003</v>
      </c>
      <c r="E92" s="7">
        <v>8990</v>
      </c>
      <c r="F92" s="7"/>
      <c r="G92" s="7"/>
      <c r="H92" s="7">
        <v>7910</v>
      </c>
      <c r="I92" s="7"/>
      <c r="J92" s="7"/>
      <c r="K92" s="7"/>
      <c r="L92" s="7"/>
      <c r="M92" s="7"/>
      <c r="N92" s="7"/>
      <c r="O92" s="7"/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237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238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239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25">
        <v>20203</v>
      </c>
      <c r="B98" s="26" t="s">
        <v>240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>
        <f>37748.8+13100</f>
        <v>50848.800000000003</v>
      </c>
      <c r="I98" s="7">
        <v>15096.8</v>
      </c>
      <c r="J98" s="7">
        <f>30167.27+67000+13880+390000+25536</f>
        <v>526583.27</v>
      </c>
      <c r="K98" s="7"/>
      <c r="L98" s="7"/>
      <c r="M98" s="7"/>
      <c r="N98" s="7"/>
      <c r="O98" s="7"/>
      <c r="P98" s="7"/>
    </row>
    <row r="99" spans="1:16">
      <c r="A99" s="28">
        <v>203</v>
      </c>
      <c r="B99" s="23" t="s">
        <v>241</v>
      </c>
      <c r="C99" s="24">
        <f>+C100+C101+C102+C103+C104+C105+C106</f>
        <v>6100000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242</v>
      </c>
      <c r="C100" s="24">
        <v>200000</v>
      </c>
      <c r="D100" s="7"/>
      <c r="E100" s="7"/>
      <c r="F100" s="7">
        <v>68800</v>
      </c>
      <c r="G100" s="7">
        <v>5300</v>
      </c>
      <c r="H100" s="7">
        <v>34329.99</v>
      </c>
      <c r="I100" s="7">
        <v>5400</v>
      </c>
      <c r="J100" s="7">
        <v>2260</v>
      </c>
      <c r="K100" s="7"/>
      <c r="L100" s="7"/>
      <c r="M100" s="7"/>
      <c r="N100" s="7"/>
      <c r="O100" s="7"/>
      <c r="P100" s="7"/>
    </row>
    <row r="101" spans="1:16">
      <c r="A101" s="25">
        <v>20302</v>
      </c>
      <c r="B101" s="26" t="s">
        <v>243</v>
      </c>
      <c r="C101" s="24">
        <v>200000</v>
      </c>
      <c r="D101" s="7"/>
      <c r="E101" s="7"/>
      <c r="F101" s="7"/>
      <c r="G101" s="7"/>
      <c r="H101" s="7">
        <v>42550</v>
      </c>
      <c r="I101" s="7"/>
      <c r="J101" s="7"/>
      <c r="K101" s="7"/>
      <c r="L101" s="7"/>
      <c r="M101" s="7"/>
      <c r="N101" s="7"/>
      <c r="O101" s="7"/>
      <c r="P101" s="7"/>
    </row>
    <row r="102" spans="1:16">
      <c r="A102" s="25">
        <v>20303</v>
      </c>
      <c r="B102" s="26" t="s">
        <v>244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245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>
        <f>30308.6+87108</f>
        <v>117416.6</v>
      </c>
      <c r="I103" s="7">
        <v>14269</v>
      </c>
      <c r="J103" s="7">
        <v>10719.16</v>
      </c>
      <c r="K103" s="7"/>
      <c r="L103" s="7"/>
      <c r="M103" s="7"/>
      <c r="N103" s="7"/>
      <c r="O103" s="7"/>
      <c r="P103" s="7"/>
    </row>
    <row r="104" spans="1:16">
      <c r="A104" s="25">
        <v>20305</v>
      </c>
      <c r="B104" s="26" t="s">
        <v>246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247</v>
      </c>
      <c r="C105" s="24">
        <v>700000</v>
      </c>
      <c r="D105" s="7"/>
      <c r="E105" s="7"/>
      <c r="F105" s="7"/>
      <c r="G105" s="7"/>
      <c r="H105" s="7">
        <v>36442.5</v>
      </c>
      <c r="I105" s="7"/>
      <c r="J105" s="7"/>
      <c r="K105" s="7"/>
      <c r="L105" s="7"/>
      <c r="M105" s="7"/>
      <c r="N105" s="7"/>
      <c r="O105" s="7"/>
      <c r="P105" s="7"/>
    </row>
    <row r="106" spans="1:16">
      <c r="A106" s="25">
        <v>20399</v>
      </c>
      <c r="B106" s="26" t="s">
        <v>248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>
        <v>5390</v>
      </c>
      <c r="I106" s="7">
        <v>9000</v>
      </c>
      <c r="J106" s="7"/>
      <c r="K106" s="7"/>
      <c r="L106" s="7"/>
      <c r="M106" s="7"/>
      <c r="N106" s="7"/>
      <c r="O106" s="7"/>
      <c r="P106" s="7"/>
    </row>
    <row r="107" spans="1:16">
      <c r="A107" s="28">
        <v>204</v>
      </c>
      <c r="B107" s="23" t="s">
        <v>249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250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25">
        <v>20402</v>
      </c>
      <c r="B109" s="26" t="s">
        <v>251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>
        <f>29369.4+36289</f>
        <v>65658.399999999994</v>
      </c>
      <c r="I109" s="7">
        <f>95278.32+5000</f>
        <v>100278.32</v>
      </c>
      <c r="J109" s="7">
        <v>23503.61</v>
      </c>
      <c r="K109" s="7"/>
      <c r="L109" s="7"/>
      <c r="M109" s="7"/>
      <c r="N109" s="7"/>
      <c r="O109" s="7"/>
      <c r="P109" s="7"/>
    </row>
    <row r="110" spans="1:16">
      <c r="A110" s="28">
        <v>299</v>
      </c>
      <c r="B110" s="23" t="s">
        <v>252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253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>
        <f>7800+375200</f>
        <v>383000</v>
      </c>
      <c r="I111" s="7"/>
      <c r="J111" s="7">
        <f>258580+8100+27400</f>
        <v>294080</v>
      </c>
      <c r="K111" s="7">
        <f>103045+233100</f>
        <v>336145</v>
      </c>
      <c r="L111" s="7"/>
      <c r="M111" s="7"/>
      <c r="N111" s="7"/>
      <c r="O111" s="7"/>
      <c r="P111" s="7"/>
    </row>
    <row r="112" spans="1:16">
      <c r="A112" s="25">
        <v>29902</v>
      </c>
      <c r="B112" s="26" t="s">
        <v>254</v>
      </c>
      <c r="C112" s="24">
        <v>350000</v>
      </c>
      <c r="D112" s="7"/>
      <c r="E112" s="7"/>
      <c r="F112" s="7"/>
      <c r="G112" s="7"/>
      <c r="H112" s="7"/>
      <c r="I112" s="7">
        <v>24985.27</v>
      </c>
      <c r="J112" s="7">
        <v>30200</v>
      </c>
      <c r="K112" s="7">
        <f>56015.46+55959.85+52300</f>
        <v>164275.31</v>
      </c>
      <c r="L112" s="7"/>
      <c r="M112" s="7"/>
      <c r="N112" s="7"/>
      <c r="O112" s="7"/>
      <c r="P112" s="7"/>
    </row>
    <row r="113" spans="1:16">
      <c r="A113" s="25">
        <v>29903</v>
      </c>
      <c r="B113" s="26" t="s">
        <v>255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>
        <f>4508.68+6700</f>
        <v>11208.68</v>
      </c>
      <c r="I113" s="7"/>
      <c r="J113" s="7"/>
      <c r="K113" s="7">
        <f>990000+45000+920577</f>
        <v>1955577</v>
      </c>
      <c r="L113" s="7"/>
      <c r="M113" s="7"/>
      <c r="N113" s="7"/>
      <c r="O113" s="7"/>
      <c r="P113" s="7"/>
    </row>
    <row r="114" spans="1:16">
      <c r="A114" s="25">
        <v>29904</v>
      </c>
      <c r="B114" s="26" t="s">
        <v>256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>
        <v>12445</v>
      </c>
      <c r="I114" s="7">
        <v>476492.75</v>
      </c>
      <c r="J114" s="7"/>
      <c r="K114" s="7"/>
      <c r="L114" s="7"/>
      <c r="M114" s="7"/>
      <c r="N114" s="7"/>
      <c r="O114" s="7"/>
      <c r="P114" s="7"/>
    </row>
    <row r="115" spans="1:16">
      <c r="A115" s="25">
        <v>29905</v>
      </c>
      <c r="B115" s="26" t="s">
        <v>257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>
        <f>239800+84950</f>
        <v>324750</v>
      </c>
      <c r="L115" s="7"/>
      <c r="M115" s="7"/>
      <c r="N115" s="7"/>
      <c r="O115" s="7"/>
      <c r="P115" s="7"/>
    </row>
    <row r="116" spans="1:16">
      <c r="A116" s="25">
        <v>29906</v>
      </c>
      <c r="B116" s="26" t="s">
        <v>258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>
      <c r="A117" s="25">
        <v>29907</v>
      </c>
      <c r="B117" s="26" t="s">
        <v>259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260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>
        <v>5270</v>
      </c>
      <c r="I118" s="7">
        <v>950</v>
      </c>
      <c r="J118" s="7">
        <v>29148.799999999999</v>
      </c>
      <c r="K118" s="7"/>
      <c r="L118" s="7"/>
      <c r="M118" s="7"/>
      <c r="N118" s="7"/>
      <c r="O118" s="7"/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261</v>
      </c>
      <c r="B120" s="20" t="s">
        <v>262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263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264</v>
      </c>
      <c r="C122" s="24">
        <v>60000000</v>
      </c>
      <c r="D122" s="7"/>
      <c r="E122" s="7"/>
      <c r="F122" s="7"/>
      <c r="G122" s="7"/>
      <c r="H122" s="7"/>
      <c r="I122" s="7">
        <v>12224385</v>
      </c>
      <c r="J122" s="7">
        <v>37012934.450000003</v>
      </c>
      <c r="K122" s="7"/>
      <c r="L122" s="7"/>
      <c r="M122" s="7"/>
      <c r="N122" s="7"/>
      <c r="O122" s="7"/>
      <c r="P122" s="7"/>
    </row>
    <row r="123" spans="1:16">
      <c r="A123" s="25">
        <v>50103</v>
      </c>
      <c r="B123" s="26" t="s">
        <v>265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25">
        <v>50104</v>
      </c>
      <c r="B124" s="26" t="s">
        <v>266</v>
      </c>
      <c r="C124" s="24">
        <v>20000000</v>
      </c>
      <c r="D124" s="7"/>
      <c r="E124" s="7"/>
      <c r="F124" s="7"/>
      <c r="G124" s="7">
        <v>2471000</v>
      </c>
      <c r="H124" s="7"/>
      <c r="I124" s="7"/>
      <c r="J124" s="7">
        <v>1178983.28</v>
      </c>
      <c r="K124" s="7">
        <v>17959844.620000001</v>
      </c>
      <c r="L124" s="7"/>
      <c r="M124" s="7"/>
      <c r="N124" s="7"/>
      <c r="O124" s="7"/>
      <c r="P124" s="7"/>
    </row>
    <row r="125" spans="1:16">
      <c r="A125" s="25">
        <v>50105</v>
      </c>
      <c r="B125" s="26" t="s">
        <v>267</v>
      </c>
      <c r="C125" s="24">
        <v>50000000</v>
      </c>
      <c r="D125" s="7"/>
      <c r="E125" s="7"/>
      <c r="F125" s="7"/>
      <c r="G125" s="7"/>
      <c r="H125" s="7">
        <f>870692.4+346400+3330566.14+158846.8</f>
        <v>4706505.34</v>
      </c>
      <c r="I125" s="7"/>
      <c r="J125" s="7"/>
      <c r="K125" s="7"/>
      <c r="L125" s="7"/>
      <c r="M125" s="7"/>
      <c r="N125" s="7"/>
      <c r="O125" s="7"/>
      <c r="P125" s="7"/>
    </row>
    <row r="126" spans="1:16">
      <c r="A126" s="25">
        <v>50106</v>
      </c>
      <c r="B126" s="26" t="s">
        <v>268</v>
      </c>
      <c r="C126" s="24">
        <v>0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269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270</v>
      </c>
      <c r="C128" s="24">
        <v>0</v>
      </c>
      <c r="D128" s="7"/>
      <c r="E128" s="7"/>
      <c r="F128" s="7"/>
      <c r="G128" s="7"/>
      <c r="H128" s="7"/>
      <c r="I128" s="7">
        <v>234000</v>
      </c>
      <c r="J128" s="7"/>
      <c r="K128" s="7"/>
      <c r="L128" s="7"/>
      <c r="M128" s="7"/>
      <c r="N128" s="7"/>
      <c r="O128" s="7"/>
      <c r="P128" s="7"/>
    </row>
    <row r="129" spans="1:16">
      <c r="A129" s="28">
        <v>502</v>
      </c>
      <c r="B129" s="23" t="s">
        <v>271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272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273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274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275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276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25">
        <v>59999</v>
      </c>
      <c r="B136" s="26" t="s">
        <v>277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278</v>
      </c>
      <c r="B138" s="20" t="s">
        <v>279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280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281</v>
      </c>
      <c r="C140" s="24">
        <v>53456000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>
        <f>3394073.13+690650.13</f>
        <v>4084723.26</v>
      </c>
      <c r="I140" s="7"/>
      <c r="J140" s="7">
        <f>3422525.24+696386.44</f>
        <v>4118911.68</v>
      </c>
      <c r="K140" s="7">
        <f>33658.61+7029.33</f>
        <v>40687.94</v>
      </c>
      <c r="L140" s="7"/>
      <c r="M140" s="7"/>
      <c r="N140" s="7"/>
      <c r="O140" s="7"/>
      <c r="P140" s="7"/>
    </row>
    <row r="141" spans="1:16">
      <c r="A141" s="28">
        <v>602</v>
      </c>
      <c r="B141" s="23" t="s">
        <v>282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283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284</v>
      </c>
      <c r="C143" s="24">
        <v>750000</v>
      </c>
      <c r="D143" s="7"/>
      <c r="E143" s="7"/>
      <c r="F143" s="7">
        <f>23100+33930+50050+64090</f>
        <v>171170</v>
      </c>
      <c r="G143" s="7"/>
      <c r="H143" s="7">
        <v>167640</v>
      </c>
      <c r="I143" s="7"/>
      <c r="J143" s="7">
        <f>19500+11700</f>
        <v>31200</v>
      </c>
      <c r="K143" s="7">
        <v>60480</v>
      </c>
      <c r="L143" s="7"/>
      <c r="M143" s="7"/>
      <c r="N143" s="7"/>
      <c r="O143" s="7"/>
      <c r="P143" s="7"/>
    </row>
    <row r="144" spans="1:16">
      <c r="A144" s="25">
        <v>60299</v>
      </c>
      <c r="B144" s="26" t="s">
        <v>285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286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287</v>
      </c>
      <c r="C146" s="24">
        <v>27700000</v>
      </c>
      <c r="D146" s="7"/>
      <c r="E146" s="7">
        <v>6799708.3499999996</v>
      </c>
      <c r="F146" s="7"/>
      <c r="G146" s="7">
        <f>1057082.7+10461363.8</f>
        <v>11518446.5</v>
      </c>
      <c r="H146" s="7">
        <v>88340</v>
      </c>
      <c r="I146" s="7">
        <v>2358235.5</v>
      </c>
      <c r="J146" s="7">
        <f>2455223.75+8175826.25</f>
        <v>10631050</v>
      </c>
      <c r="K146" s="7"/>
      <c r="L146" s="7"/>
      <c r="M146" s="7"/>
      <c r="N146" s="7"/>
      <c r="O146" s="7"/>
      <c r="P146" s="7"/>
    </row>
    <row r="147" spans="1:16">
      <c r="A147" s="25">
        <v>60399</v>
      </c>
      <c r="B147" s="26" t="s">
        <v>288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>
        <v>739065</v>
      </c>
      <c r="I147" s="7">
        <f>447689+510691</f>
        <v>958380</v>
      </c>
      <c r="J147" s="7">
        <f>439881+459721</f>
        <v>899602</v>
      </c>
      <c r="K147" s="7">
        <f>644831+161515</f>
        <v>806346</v>
      </c>
      <c r="L147" s="7"/>
      <c r="M147" s="7"/>
      <c r="N147" s="7"/>
      <c r="O147" s="7"/>
      <c r="P147" s="7"/>
    </row>
    <row r="148" spans="1:16">
      <c r="A148" s="28">
        <v>604</v>
      </c>
      <c r="B148" s="23" t="s">
        <v>289</v>
      </c>
      <c r="C148" s="24">
        <f>+C149</f>
        <v>0</v>
      </c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290</v>
      </c>
      <c r="C149" s="24">
        <v>0</v>
      </c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291</v>
      </c>
      <c r="C150" s="24">
        <f>+C151</f>
        <v>300000</v>
      </c>
      <c r="D150" s="10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292</v>
      </c>
      <c r="C151" s="24">
        <v>300000</v>
      </c>
      <c r="D151" s="10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293</v>
      </c>
      <c r="C152" s="24">
        <f>+C153</f>
        <v>3000000</v>
      </c>
      <c r="D152" s="10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294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295</v>
      </c>
      <c r="C155" s="100">
        <f>+C138+C120+C87+C31+C4</f>
        <v>6361000000</v>
      </c>
      <c r="D155" s="42">
        <f>SUM(D4:D153)</f>
        <v>644756032.39999998</v>
      </c>
      <c r="E155" s="42">
        <f>SUM(E4:E153)</f>
        <v>445993310.37</v>
      </c>
      <c r="F155" s="30">
        <f>SUM(F6:F147)</f>
        <v>375243076.11000007</v>
      </c>
      <c r="G155" s="30">
        <f>SUM(G6:G151)</f>
        <v>411401371.52000004</v>
      </c>
      <c r="H155" s="30">
        <f t="shared" ref="H155:O155" si="0">SUM(H6:H151)</f>
        <v>377522681.36999989</v>
      </c>
      <c r="I155" s="30">
        <f t="shared" si="0"/>
        <v>407299599.30999994</v>
      </c>
      <c r="J155" s="30">
        <f t="shared" si="0"/>
        <v>427150837.81</v>
      </c>
      <c r="K155" s="30">
        <f>SUM(K6:K154)</f>
        <v>387018813.10999995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3476385722</v>
      </c>
    </row>
    <row r="156" spans="1:16">
      <c r="C156" s="31"/>
      <c r="D156" s="41" t="s">
        <v>105</v>
      </c>
      <c r="E156" s="7" t="s">
        <v>105</v>
      </c>
      <c r="F156" s="7"/>
      <c r="G156" s="7"/>
      <c r="H156" s="7" t="s">
        <v>105</v>
      </c>
      <c r="I156" s="7" t="s">
        <v>105</v>
      </c>
      <c r="J156" s="7" t="s">
        <v>105</v>
      </c>
      <c r="K156" s="7"/>
      <c r="L156" s="7" t="s">
        <v>105</v>
      </c>
      <c r="M156" s="7" t="s">
        <v>105</v>
      </c>
      <c r="N156" s="7"/>
      <c r="O156" s="7"/>
      <c r="P156" s="7">
        <f>+P155-[1]Hoja1!$P$155</f>
        <v>0</v>
      </c>
    </row>
    <row r="157" spans="1:16">
      <c r="C157" t="s">
        <v>105</v>
      </c>
      <c r="D157" s="4" t="s">
        <v>105</v>
      </c>
      <c r="E157" s="4" t="s">
        <v>105</v>
      </c>
      <c r="F157" s="4" t="s">
        <v>105</v>
      </c>
      <c r="G157" s="4" t="s">
        <v>105</v>
      </c>
      <c r="L157" s="96" t="s">
        <v>105</v>
      </c>
    </row>
    <row r="158" spans="1:16">
      <c r="F158" s="104" t="s">
        <v>296</v>
      </c>
      <c r="G158" s="105" t="s">
        <v>105</v>
      </c>
      <c r="N158" s="3" t="s">
        <v>105</v>
      </c>
    </row>
    <row r="159" spans="1:16">
      <c r="P159" s="3" t="s">
        <v>105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0"/>
  <sheetViews>
    <sheetView tabSelected="1" workbookViewId="0">
      <selection activeCell="D11" sqref="D11"/>
    </sheetView>
  </sheetViews>
  <sheetFormatPr defaultRowHeight="15"/>
  <cols>
    <col min="1" max="1" width="38.28515625" bestFit="1" customWidth="1"/>
    <col min="2" max="2" width="12" customWidth="1"/>
    <col min="3" max="3" width="24.28515625" customWidth="1"/>
    <col min="4" max="4" width="41.28515625" customWidth="1"/>
    <col min="5" max="5" width="173.5703125" bestFit="1" customWidth="1"/>
    <col min="6" max="256" width="11.42578125" customWidth="1"/>
  </cols>
  <sheetData>
    <row r="1" spans="1:23">
      <c r="A1" s="32" t="s">
        <v>297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298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23">
      <c r="A3" s="29" t="s">
        <v>299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>
      <c r="A4" s="34" t="s">
        <v>105</v>
      </c>
      <c r="B4" s="35" t="s">
        <v>105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4"/>
      <c r="B5" s="35"/>
      <c r="C5" s="9"/>
      <c r="D5" s="9"/>
      <c r="E5" s="9"/>
      <c r="F5" s="38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4" t="s">
        <v>300</v>
      </c>
      <c r="B6" s="35">
        <v>43313</v>
      </c>
      <c r="C6" s="9" t="s">
        <v>301</v>
      </c>
      <c r="D6" s="9" t="s">
        <v>302</v>
      </c>
      <c r="E6" s="9" t="s">
        <v>303</v>
      </c>
      <c r="F6" s="38">
        <v>37450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4" t="s">
        <v>304</v>
      </c>
      <c r="B7" s="35">
        <v>43313</v>
      </c>
      <c r="C7" s="9" t="s">
        <v>301</v>
      </c>
      <c r="D7" s="9" t="s">
        <v>305</v>
      </c>
      <c r="E7" s="9" t="s">
        <v>306</v>
      </c>
      <c r="F7" s="38">
        <v>42600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4" t="s">
        <v>307</v>
      </c>
      <c r="B8" s="35">
        <v>43313</v>
      </c>
      <c r="C8" s="9" t="s">
        <v>301</v>
      </c>
      <c r="D8" s="9" t="s">
        <v>308</v>
      </c>
      <c r="E8" s="9" t="s">
        <v>309</v>
      </c>
      <c r="F8" s="38">
        <v>12650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4" t="s">
        <v>310</v>
      </c>
      <c r="B9" s="35">
        <v>43313</v>
      </c>
      <c r="C9" s="9" t="s">
        <v>301</v>
      </c>
      <c r="D9" s="9" t="s">
        <v>311</v>
      </c>
      <c r="E9" s="9" t="s">
        <v>312</v>
      </c>
      <c r="F9" s="38">
        <v>39850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4" t="s">
        <v>313</v>
      </c>
      <c r="B10" s="35">
        <v>43318</v>
      </c>
      <c r="C10" s="9" t="s">
        <v>301</v>
      </c>
      <c r="D10" s="9" t="s">
        <v>314</v>
      </c>
      <c r="E10" s="9" t="s">
        <v>315</v>
      </c>
      <c r="F10" s="38">
        <v>50000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4" t="s">
        <v>316</v>
      </c>
      <c r="B11" s="35">
        <v>43320</v>
      </c>
      <c r="C11" s="9" t="s">
        <v>301</v>
      </c>
      <c r="D11" s="9" t="s">
        <v>317</v>
      </c>
      <c r="E11" s="9" t="s">
        <v>318</v>
      </c>
      <c r="F11" s="38">
        <v>35750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4" t="s">
        <v>319</v>
      </c>
      <c r="B12" s="35">
        <v>43321</v>
      </c>
      <c r="C12" s="9" t="s">
        <v>301</v>
      </c>
      <c r="D12" s="9" t="s">
        <v>320</v>
      </c>
      <c r="E12" s="9" t="s">
        <v>321</v>
      </c>
      <c r="F12" s="38">
        <v>130060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4" t="s">
        <v>322</v>
      </c>
      <c r="B13" s="35">
        <v>43321</v>
      </c>
      <c r="C13" s="9" t="s">
        <v>301</v>
      </c>
      <c r="D13" s="9" t="s">
        <v>323</v>
      </c>
      <c r="E13" s="9" t="s">
        <v>324</v>
      </c>
      <c r="F13" s="38">
        <v>37450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4" t="s">
        <v>325</v>
      </c>
      <c r="B14" s="35">
        <v>43325</v>
      </c>
      <c r="C14" s="9" t="s">
        <v>301</v>
      </c>
      <c r="D14" s="9" t="s">
        <v>326</v>
      </c>
      <c r="E14" s="9" t="s">
        <v>327</v>
      </c>
      <c r="F14" s="38">
        <v>60510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4" t="s">
        <v>328</v>
      </c>
      <c r="B15" s="35">
        <v>43326</v>
      </c>
      <c r="C15" s="9" t="s">
        <v>301</v>
      </c>
      <c r="D15" s="9" t="s">
        <v>329</v>
      </c>
      <c r="E15" s="9" t="s">
        <v>330</v>
      </c>
      <c r="F15" s="38">
        <v>98839.02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4" t="s">
        <v>331</v>
      </c>
      <c r="B16" s="35">
        <v>43328</v>
      </c>
      <c r="C16" s="9" t="s">
        <v>301</v>
      </c>
      <c r="D16" s="9" t="s">
        <v>332</v>
      </c>
      <c r="E16" s="9" t="s">
        <v>333</v>
      </c>
      <c r="F16" s="38">
        <v>36100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4" t="s">
        <v>334</v>
      </c>
      <c r="B17" s="35">
        <v>43329</v>
      </c>
      <c r="C17" s="9" t="s">
        <v>301</v>
      </c>
      <c r="D17" s="9" t="s">
        <v>335</v>
      </c>
      <c r="E17" s="9" t="s">
        <v>336</v>
      </c>
      <c r="F17" s="38">
        <v>31110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4" t="s">
        <v>337</v>
      </c>
      <c r="B18" s="35">
        <v>43329</v>
      </c>
      <c r="C18" s="9" t="s">
        <v>301</v>
      </c>
      <c r="D18" s="9" t="s">
        <v>317</v>
      </c>
      <c r="E18" s="9" t="s">
        <v>338</v>
      </c>
      <c r="F18" s="38">
        <v>34500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4" t="s">
        <v>339</v>
      </c>
      <c r="B19" s="35">
        <v>43329</v>
      </c>
      <c r="C19" s="9" t="s">
        <v>301</v>
      </c>
      <c r="D19" s="9" t="s">
        <v>311</v>
      </c>
      <c r="E19" s="9" t="s">
        <v>340</v>
      </c>
      <c r="F19" s="38">
        <v>33050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4" t="s">
        <v>341</v>
      </c>
      <c r="B20" s="35">
        <v>43329</v>
      </c>
      <c r="C20" s="9" t="s">
        <v>301</v>
      </c>
      <c r="D20" s="9" t="s">
        <v>342</v>
      </c>
      <c r="E20" s="9" t="s">
        <v>340</v>
      </c>
      <c r="F20" s="38">
        <v>33050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4" t="s">
        <v>343</v>
      </c>
      <c r="B21" s="35">
        <v>43329</v>
      </c>
      <c r="C21" s="9" t="s">
        <v>301</v>
      </c>
      <c r="D21" s="9" t="s">
        <v>344</v>
      </c>
      <c r="E21" s="9" t="s">
        <v>327</v>
      </c>
      <c r="F21" s="38">
        <v>49840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4" t="s">
        <v>345</v>
      </c>
      <c r="B22" s="35">
        <v>43329</v>
      </c>
      <c r="C22" s="9" t="s">
        <v>301</v>
      </c>
      <c r="D22" s="9" t="s">
        <v>346</v>
      </c>
      <c r="E22" s="9" t="s">
        <v>347</v>
      </c>
      <c r="F22" s="38">
        <v>24500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4" t="s">
        <v>348</v>
      </c>
      <c r="B23" s="35">
        <v>43333</v>
      </c>
      <c r="C23" s="9" t="s">
        <v>301</v>
      </c>
      <c r="D23" s="9" t="s">
        <v>308</v>
      </c>
      <c r="E23" s="9" t="s">
        <v>349</v>
      </c>
      <c r="F23" s="38">
        <v>18164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4" t="s">
        <v>350</v>
      </c>
      <c r="B24" s="35">
        <v>43334</v>
      </c>
      <c r="C24" s="9" t="s">
        <v>301</v>
      </c>
      <c r="D24" s="9" t="s">
        <v>351</v>
      </c>
      <c r="E24" s="9" t="s">
        <v>352</v>
      </c>
      <c r="F24" s="38">
        <v>36050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4" t="s">
        <v>353</v>
      </c>
      <c r="B25" s="35">
        <v>43334</v>
      </c>
      <c r="C25" s="9" t="s">
        <v>301</v>
      </c>
      <c r="D25" s="9" t="s">
        <v>317</v>
      </c>
      <c r="E25" s="9" t="s">
        <v>354</v>
      </c>
      <c r="F25" s="38">
        <v>31550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4" t="s">
        <v>355</v>
      </c>
      <c r="B26" s="35">
        <v>43334</v>
      </c>
      <c r="C26" s="9" t="s">
        <v>301</v>
      </c>
      <c r="D26" s="9" t="s">
        <v>356</v>
      </c>
      <c r="E26" s="9" t="s">
        <v>357</v>
      </c>
      <c r="F26" s="38">
        <v>34700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4" t="s">
        <v>358</v>
      </c>
      <c r="B27" s="35">
        <v>43334</v>
      </c>
      <c r="C27" s="9" t="s">
        <v>301</v>
      </c>
      <c r="D27" s="9" t="s">
        <v>332</v>
      </c>
      <c r="E27" s="9" t="s">
        <v>359</v>
      </c>
      <c r="F27" s="38">
        <v>36050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4" t="s">
        <v>360</v>
      </c>
      <c r="B28" s="35">
        <v>43336</v>
      </c>
      <c r="C28" s="9" t="s">
        <v>301</v>
      </c>
      <c r="D28" s="9" t="s">
        <v>342</v>
      </c>
      <c r="E28" s="9" t="s">
        <v>361</v>
      </c>
      <c r="F28" s="38">
        <v>83100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4" t="s">
        <v>362</v>
      </c>
      <c r="B29" s="35">
        <v>43336</v>
      </c>
      <c r="C29" s="9" t="s">
        <v>301</v>
      </c>
      <c r="D29" s="9" t="s">
        <v>363</v>
      </c>
      <c r="E29" s="9" t="s">
        <v>361</v>
      </c>
      <c r="F29" s="38">
        <v>83100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4" t="s">
        <v>364</v>
      </c>
      <c r="B30" s="35">
        <v>43340</v>
      </c>
      <c r="C30" s="9" t="s">
        <v>301</v>
      </c>
      <c r="D30" s="9" t="s">
        <v>329</v>
      </c>
      <c r="E30" s="9" t="s">
        <v>365</v>
      </c>
      <c r="F30" s="38">
        <v>109847.48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4" t="s">
        <v>366</v>
      </c>
      <c r="B31" s="35">
        <v>43340</v>
      </c>
      <c r="C31" s="9" t="s">
        <v>301</v>
      </c>
      <c r="D31" s="9" t="s">
        <v>317</v>
      </c>
      <c r="E31" s="9" t="s">
        <v>367</v>
      </c>
      <c r="F31" s="38">
        <v>34250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4" t="s">
        <v>368</v>
      </c>
      <c r="B32" s="35">
        <v>43340</v>
      </c>
      <c r="C32" s="9" t="s">
        <v>301</v>
      </c>
      <c r="D32" s="9" t="s">
        <v>369</v>
      </c>
      <c r="E32" s="9" t="s">
        <v>370</v>
      </c>
      <c r="F32" s="38">
        <v>36650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4" t="s">
        <v>371</v>
      </c>
      <c r="B33" s="35">
        <v>43341</v>
      </c>
      <c r="C33" s="9" t="s">
        <v>301</v>
      </c>
      <c r="D33" s="9" t="s">
        <v>332</v>
      </c>
      <c r="E33" s="9" t="s">
        <v>372</v>
      </c>
      <c r="F33" s="38">
        <v>32050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4" t="s">
        <v>373</v>
      </c>
      <c r="B34" s="35">
        <v>43341</v>
      </c>
      <c r="C34" s="9" t="s">
        <v>301</v>
      </c>
      <c r="D34" s="9" t="s">
        <v>374</v>
      </c>
      <c r="E34" s="9" t="s">
        <v>370</v>
      </c>
      <c r="F34" s="38">
        <v>36650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4" t="s">
        <v>375</v>
      </c>
      <c r="B35" s="35">
        <v>43341</v>
      </c>
      <c r="C35" s="9" t="s">
        <v>301</v>
      </c>
      <c r="D35" s="9" t="s">
        <v>376</v>
      </c>
      <c r="E35" s="9" t="s">
        <v>377</v>
      </c>
      <c r="F35" s="38">
        <v>36650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4" t="s">
        <v>378</v>
      </c>
      <c r="B36" s="35">
        <v>43341</v>
      </c>
      <c r="C36" s="9" t="s">
        <v>301</v>
      </c>
      <c r="D36" s="9" t="s">
        <v>320</v>
      </c>
      <c r="E36" s="9" t="s">
        <v>379</v>
      </c>
      <c r="F36" s="38">
        <v>134840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4" t="s">
        <v>380</v>
      </c>
      <c r="B37" s="35">
        <v>43341</v>
      </c>
      <c r="C37" s="9" t="s">
        <v>301</v>
      </c>
      <c r="D37" s="9" t="s">
        <v>381</v>
      </c>
      <c r="E37" s="9" t="s">
        <v>382</v>
      </c>
      <c r="F37" s="38">
        <v>32050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4" t="s">
        <v>383</v>
      </c>
      <c r="B38" s="35">
        <v>43341</v>
      </c>
      <c r="C38" s="9" t="s">
        <v>301</v>
      </c>
      <c r="D38" s="9" t="s">
        <v>384</v>
      </c>
      <c r="E38" s="9" t="s">
        <v>382</v>
      </c>
      <c r="F38" s="38">
        <v>32050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4" t="s">
        <v>385</v>
      </c>
      <c r="B39" s="35">
        <v>43319</v>
      </c>
      <c r="C39" s="9" t="s">
        <v>301</v>
      </c>
      <c r="D39" s="9" t="s">
        <v>386</v>
      </c>
      <c r="E39" s="9" t="s">
        <v>387</v>
      </c>
      <c r="F39" s="38">
        <v>4300496.8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4" t="s">
        <v>385</v>
      </c>
      <c r="B40" s="35">
        <v>43319</v>
      </c>
      <c r="C40" s="9" t="s">
        <v>301</v>
      </c>
      <c r="D40" s="9" t="s">
        <v>388</v>
      </c>
      <c r="E40" s="9" t="s">
        <v>389</v>
      </c>
      <c r="F40" s="38">
        <v>396017.95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4" t="s">
        <v>385</v>
      </c>
      <c r="B41" s="35">
        <v>43319</v>
      </c>
      <c r="C41" s="9" t="s">
        <v>301</v>
      </c>
      <c r="D41" s="9" t="s">
        <v>390</v>
      </c>
      <c r="E41" s="9" t="s">
        <v>391</v>
      </c>
      <c r="F41" s="38">
        <v>60480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4" t="s">
        <v>385</v>
      </c>
      <c r="B42" s="35">
        <v>43319</v>
      </c>
      <c r="C42" s="9" t="s">
        <v>301</v>
      </c>
      <c r="D42" s="9" t="s">
        <v>392</v>
      </c>
      <c r="E42" s="9" t="s">
        <v>393</v>
      </c>
      <c r="F42" s="38">
        <v>20000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4" t="s">
        <v>385</v>
      </c>
      <c r="B43" s="35">
        <v>43319</v>
      </c>
      <c r="C43" s="9" t="s">
        <v>301</v>
      </c>
      <c r="D43" s="9" t="s">
        <v>394</v>
      </c>
      <c r="E43" s="9" t="s">
        <v>395</v>
      </c>
      <c r="F43" s="38">
        <v>713546.53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4" t="s">
        <v>385</v>
      </c>
      <c r="B44" s="35">
        <v>43319</v>
      </c>
      <c r="C44" s="9" t="s">
        <v>301</v>
      </c>
      <c r="D44" s="9" t="s">
        <v>396</v>
      </c>
      <c r="E44" s="9" t="s">
        <v>397</v>
      </c>
      <c r="F44" s="38">
        <v>44950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4" t="s">
        <v>398</v>
      </c>
      <c r="B45" s="35">
        <v>43318</v>
      </c>
      <c r="C45" s="9" t="s">
        <v>301</v>
      </c>
      <c r="D45" s="9" t="s">
        <v>399</v>
      </c>
      <c r="E45" s="9" t="s">
        <v>400</v>
      </c>
      <c r="F45" s="38">
        <v>1220630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4" t="s">
        <v>401</v>
      </c>
      <c r="B46" s="35">
        <v>43322</v>
      </c>
      <c r="C46" s="9" t="s">
        <v>301</v>
      </c>
      <c r="D46" s="9" t="s">
        <v>402</v>
      </c>
      <c r="E46" s="9" t="s">
        <v>403</v>
      </c>
      <c r="F46" s="38">
        <v>271380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4" t="s">
        <v>404</v>
      </c>
      <c r="B47" s="35">
        <v>43322</v>
      </c>
      <c r="C47" s="9" t="s">
        <v>301</v>
      </c>
      <c r="D47" s="9" t="s">
        <v>405</v>
      </c>
      <c r="E47" s="9" t="s">
        <v>406</v>
      </c>
      <c r="F47" s="38">
        <v>233100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4" t="s">
        <v>404</v>
      </c>
      <c r="B48" s="35">
        <v>43322</v>
      </c>
      <c r="C48" s="9" t="s">
        <v>301</v>
      </c>
      <c r="D48" s="9" t="s">
        <v>407</v>
      </c>
      <c r="E48" s="9" t="s">
        <v>408</v>
      </c>
      <c r="F48" s="38">
        <v>156800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4" t="s">
        <v>404</v>
      </c>
      <c r="B49" s="35">
        <v>43322</v>
      </c>
      <c r="C49" s="9" t="s">
        <v>301</v>
      </c>
      <c r="D49" s="9" t="s">
        <v>407</v>
      </c>
      <c r="E49" s="9" t="s">
        <v>409</v>
      </c>
      <c r="F49" s="38">
        <v>110000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4" t="s">
        <v>404</v>
      </c>
      <c r="B50" s="35">
        <v>43322</v>
      </c>
      <c r="C50" s="9" t="s">
        <v>301</v>
      </c>
      <c r="D50" s="9" t="s">
        <v>407</v>
      </c>
      <c r="E50" s="9" t="s">
        <v>410</v>
      </c>
      <c r="F50" s="38">
        <v>150500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4" t="s">
        <v>411</v>
      </c>
      <c r="B51" s="35">
        <v>43322</v>
      </c>
      <c r="C51" s="9" t="s">
        <v>301</v>
      </c>
      <c r="D51" s="9" t="s">
        <v>412</v>
      </c>
      <c r="E51" s="9" t="s">
        <v>413</v>
      </c>
      <c r="F51" s="38">
        <v>131627.72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4" t="s">
        <v>411</v>
      </c>
      <c r="B52" s="35">
        <v>43322</v>
      </c>
      <c r="C52" s="9" t="s">
        <v>301</v>
      </c>
      <c r="D52" s="9" t="s">
        <v>412</v>
      </c>
      <c r="E52" s="9" t="s">
        <v>414</v>
      </c>
      <c r="F52" s="38">
        <v>36791.5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4" t="s">
        <v>404</v>
      </c>
      <c r="B53" s="35">
        <v>43322</v>
      </c>
      <c r="C53" s="9" t="s">
        <v>301</v>
      </c>
      <c r="D53" s="9" t="s">
        <v>415</v>
      </c>
      <c r="E53" s="9" t="s">
        <v>416</v>
      </c>
      <c r="F53" s="38">
        <v>320989.60000000003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4" t="s">
        <v>404</v>
      </c>
      <c r="B54" s="35">
        <v>43322</v>
      </c>
      <c r="C54" s="9" t="s">
        <v>301</v>
      </c>
      <c r="D54" s="9" t="s">
        <v>417</v>
      </c>
      <c r="E54" s="9" t="s">
        <v>418</v>
      </c>
      <c r="F54" s="7">
        <v>33658.61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4" t="s">
        <v>404</v>
      </c>
      <c r="B55" s="35">
        <v>43322</v>
      </c>
      <c r="C55" s="9" t="s">
        <v>301</v>
      </c>
      <c r="D55" s="9" t="s">
        <v>417</v>
      </c>
      <c r="E55" s="9" t="s">
        <v>419</v>
      </c>
      <c r="F55" s="7">
        <v>7029.33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4" t="s">
        <v>404</v>
      </c>
      <c r="B56" s="35">
        <v>43322</v>
      </c>
      <c r="C56" s="9" t="s">
        <v>301</v>
      </c>
      <c r="D56" s="9" t="s">
        <v>420</v>
      </c>
      <c r="E56" s="9" t="s">
        <v>421</v>
      </c>
      <c r="F56" s="7">
        <v>309000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4" t="s">
        <v>404</v>
      </c>
      <c r="B57" s="35">
        <v>43322</v>
      </c>
      <c r="C57" s="9" t="s">
        <v>301</v>
      </c>
      <c r="D57" s="9" t="s">
        <v>422</v>
      </c>
      <c r="E57" s="9" t="s">
        <v>423</v>
      </c>
      <c r="F57" s="7">
        <v>72010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4" t="s">
        <v>404</v>
      </c>
      <c r="B58" s="35">
        <v>43322</v>
      </c>
      <c r="C58" s="9" t="s">
        <v>301</v>
      </c>
      <c r="D58" s="9" t="s">
        <v>424</v>
      </c>
      <c r="E58" s="9" t="s">
        <v>425</v>
      </c>
      <c r="F58" s="7">
        <v>471333.95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4" t="s">
        <v>404</v>
      </c>
      <c r="B59" s="35">
        <v>43322</v>
      </c>
      <c r="C59" s="9" t="s">
        <v>301</v>
      </c>
      <c r="D59" s="9" t="s">
        <v>426</v>
      </c>
      <c r="E59" s="9" t="s">
        <v>427</v>
      </c>
      <c r="F59" s="7">
        <v>11524598.529999999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4" t="s">
        <v>404</v>
      </c>
      <c r="B60" s="35">
        <v>43322</v>
      </c>
      <c r="C60" s="9" t="s">
        <v>301</v>
      </c>
      <c r="D60" s="9" t="s">
        <v>428</v>
      </c>
      <c r="E60" s="9" t="s">
        <v>429</v>
      </c>
      <c r="F60" s="7">
        <v>754600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4" t="s">
        <v>404</v>
      </c>
      <c r="B61" s="35">
        <v>43322</v>
      </c>
      <c r="C61" s="9" t="s">
        <v>301</v>
      </c>
      <c r="D61" s="9" t="s">
        <v>430</v>
      </c>
      <c r="E61" s="9" t="s">
        <v>431</v>
      </c>
      <c r="F61" s="7">
        <v>95115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4" t="s">
        <v>404</v>
      </c>
      <c r="B62" s="35">
        <v>43322</v>
      </c>
      <c r="C62" s="9" t="s">
        <v>301</v>
      </c>
      <c r="D62" s="9" t="s">
        <v>432</v>
      </c>
      <c r="E62" s="9" t="s">
        <v>433</v>
      </c>
      <c r="F62" s="7">
        <v>18667.600000000002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4" t="s">
        <v>404</v>
      </c>
      <c r="B63" s="35">
        <v>43322</v>
      </c>
      <c r="C63" s="9" t="s">
        <v>301</v>
      </c>
      <c r="D63" s="9" t="s">
        <v>434</v>
      </c>
      <c r="E63" s="9" t="s">
        <v>435</v>
      </c>
      <c r="F63" s="7">
        <v>77300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4" t="s">
        <v>404</v>
      </c>
      <c r="B64" s="35">
        <v>43322</v>
      </c>
      <c r="C64" s="9" t="s">
        <v>301</v>
      </c>
      <c r="D64" s="9" t="s">
        <v>436</v>
      </c>
      <c r="E64" s="9" t="s">
        <v>437</v>
      </c>
      <c r="F64" s="7">
        <v>38550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4" t="s">
        <v>438</v>
      </c>
      <c r="B65" s="35">
        <v>43326</v>
      </c>
      <c r="C65" s="9" t="s">
        <v>301</v>
      </c>
      <c r="D65" s="9" t="s">
        <v>417</v>
      </c>
      <c r="E65" s="9" t="s">
        <v>439</v>
      </c>
      <c r="F65" s="7">
        <v>1397920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4" t="s">
        <v>438</v>
      </c>
      <c r="B66" s="35">
        <v>43326</v>
      </c>
      <c r="C66" s="9" t="s">
        <v>301</v>
      </c>
      <c r="D66" s="9" t="s">
        <v>417</v>
      </c>
      <c r="E66" s="9" t="s">
        <v>440</v>
      </c>
      <c r="F66" s="7">
        <v>14073612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4" t="s">
        <v>438</v>
      </c>
      <c r="B67" s="35">
        <v>43326</v>
      </c>
      <c r="C67" s="9" t="s">
        <v>301</v>
      </c>
      <c r="D67" s="9" t="s">
        <v>417</v>
      </c>
      <c r="E67" s="9" t="s">
        <v>441</v>
      </c>
      <c r="F67" s="7">
        <v>25861528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4" t="s">
        <v>438</v>
      </c>
      <c r="B68" s="35">
        <v>43326</v>
      </c>
      <c r="C68" s="9" t="s">
        <v>301</v>
      </c>
      <c r="D68" s="9" t="s">
        <v>417</v>
      </c>
      <c r="E68" s="9" t="s">
        <v>442</v>
      </c>
      <c r="F68" s="7">
        <v>4193760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4" t="s">
        <v>438</v>
      </c>
      <c r="B69" s="35">
        <v>43326</v>
      </c>
      <c r="C69" s="9" t="s">
        <v>301</v>
      </c>
      <c r="D69" s="9" t="s">
        <v>417</v>
      </c>
      <c r="E69" s="9" t="s">
        <v>443</v>
      </c>
      <c r="F69" s="7">
        <v>8387524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4" t="s">
        <v>444</v>
      </c>
      <c r="B70" s="35">
        <v>43329</v>
      </c>
      <c r="C70" s="9" t="s">
        <v>301</v>
      </c>
      <c r="D70" s="9" t="s">
        <v>445</v>
      </c>
      <c r="E70" s="9" t="s">
        <v>446</v>
      </c>
      <c r="F70" s="7">
        <v>970200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4" t="s">
        <v>444</v>
      </c>
      <c r="B71" s="35">
        <v>43329</v>
      </c>
      <c r="C71" s="9" t="s">
        <v>301</v>
      </c>
      <c r="D71" s="9" t="s">
        <v>447</v>
      </c>
      <c r="E71" s="9" t="s">
        <v>448</v>
      </c>
      <c r="F71" s="7">
        <v>1559765.55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4" t="s">
        <v>444</v>
      </c>
      <c r="B72" s="35">
        <v>43329</v>
      </c>
      <c r="C72" s="9" t="s">
        <v>301</v>
      </c>
      <c r="D72" s="9" t="s">
        <v>449</v>
      </c>
      <c r="E72" s="9" t="s">
        <v>450</v>
      </c>
      <c r="F72" s="7">
        <v>17600647.73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4" t="s">
        <v>444</v>
      </c>
      <c r="B73" s="35">
        <v>43329</v>
      </c>
      <c r="C73" s="9" t="s">
        <v>301</v>
      </c>
      <c r="D73" s="9" t="s">
        <v>451</v>
      </c>
      <c r="E73" s="9" t="s">
        <v>452</v>
      </c>
      <c r="F73" s="7">
        <v>56015.46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4" t="s">
        <v>444</v>
      </c>
      <c r="B74" s="35">
        <v>43329</v>
      </c>
      <c r="C74" s="9" t="s">
        <v>301</v>
      </c>
      <c r="D74" s="9" t="s">
        <v>451</v>
      </c>
      <c r="E74" s="9" t="s">
        <v>453</v>
      </c>
      <c r="F74" s="7">
        <v>60981.82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4" t="s">
        <v>444</v>
      </c>
      <c r="B75" s="35">
        <v>43329</v>
      </c>
      <c r="C75" s="9" t="s">
        <v>301</v>
      </c>
      <c r="D75" s="9" t="s">
        <v>454</v>
      </c>
      <c r="E75" s="9" t="s">
        <v>455</v>
      </c>
      <c r="F75" s="7">
        <v>702503.20000000007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4" t="s">
        <v>444</v>
      </c>
      <c r="B76" s="35">
        <v>43329</v>
      </c>
      <c r="C76" s="9" t="s">
        <v>301</v>
      </c>
      <c r="D76" s="9" t="s">
        <v>456</v>
      </c>
      <c r="E76" s="9" t="s">
        <v>457</v>
      </c>
      <c r="F76" s="7">
        <v>404045.95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4" t="s">
        <v>444</v>
      </c>
      <c r="B77" s="35">
        <v>43329</v>
      </c>
      <c r="C77" s="9" t="s">
        <v>301</v>
      </c>
      <c r="D77" s="9" t="s">
        <v>430</v>
      </c>
      <c r="E77" s="9" t="s">
        <v>458</v>
      </c>
      <c r="F77" s="7">
        <v>71700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4" t="s">
        <v>444</v>
      </c>
      <c r="B78" s="35">
        <v>43329</v>
      </c>
      <c r="C78" s="9" t="s">
        <v>301</v>
      </c>
      <c r="D78" s="9" t="s">
        <v>430</v>
      </c>
      <c r="E78" s="9" t="s">
        <v>459</v>
      </c>
      <c r="F78" s="7">
        <v>54665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4" t="s">
        <v>444</v>
      </c>
      <c r="B79" s="35">
        <v>43329</v>
      </c>
      <c r="C79" s="9" t="s">
        <v>301</v>
      </c>
      <c r="D79" s="9" t="s">
        <v>460</v>
      </c>
      <c r="E79" s="9" t="s">
        <v>461</v>
      </c>
      <c r="F79" s="7">
        <v>1481255.3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4" t="s">
        <v>444</v>
      </c>
      <c r="B80" s="35">
        <v>43329</v>
      </c>
      <c r="C80" s="9" t="s">
        <v>301</v>
      </c>
      <c r="D80" s="9" t="s">
        <v>462</v>
      </c>
      <c r="E80" s="9" t="s">
        <v>463</v>
      </c>
      <c r="F80" s="7">
        <v>150000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4" t="s">
        <v>444</v>
      </c>
      <c r="B81" s="35">
        <v>43329</v>
      </c>
      <c r="C81" s="9" t="s">
        <v>301</v>
      </c>
      <c r="D81" s="9" t="s">
        <v>464</v>
      </c>
      <c r="E81" s="9" t="s">
        <v>465</v>
      </c>
      <c r="F81" s="7">
        <v>8350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4" t="s">
        <v>444</v>
      </c>
      <c r="B82" s="35">
        <v>43329</v>
      </c>
      <c r="C82" s="9" t="s">
        <v>301</v>
      </c>
      <c r="D82" s="9" t="s">
        <v>464</v>
      </c>
      <c r="E82" s="9" t="s">
        <v>466</v>
      </c>
      <c r="F82" s="7">
        <v>8200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4" t="s">
        <v>444</v>
      </c>
      <c r="B83" s="35">
        <v>43329</v>
      </c>
      <c r="C83" s="9" t="s">
        <v>301</v>
      </c>
      <c r="D83" s="9" t="s">
        <v>467</v>
      </c>
      <c r="E83" s="9" t="s">
        <v>468</v>
      </c>
      <c r="F83" s="7">
        <v>39850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4" t="s">
        <v>444</v>
      </c>
      <c r="B84" s="35">
        <v>43329</v>
      </c>
      <c r="C84" s="9" t="s">
        <v>301</v>
      </c>
      <c r="D84" s="9" t="s">
        <v>469</v>
      </c>
      <c r="E84" s="9" t="s">
        <v>470</v>
      </c>
      <c r="F84" s="7">
        <v>43000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4" t="s">
        <v>444</v>
      </c>
      <c r="B85" s="35">
        <v>43329</v>
      </c>
      <c r="C85" s="9" t="s">
        <v>301</v>
      </c>
      <c r="D85" s="9" t="s">
        <v>469</v>
      </c>
      <c r="E85" s="9" t="s">
        <v>471</v>
      </c>
      <c r="F85" s="7">
        <v>6840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4" t="s">
        <v>444</v>
      </c>
      <c r="B86" s="35">
        <v>43329</v>
      </c>
      <c r="C86" s="9" t="s">
        <v>301</v>
      </c>
      <c r="D86" s="9" t="s">
        <v>472</v>
      </c>
      <c r="E86" s="9" t="s">
        <v>473</v>
      </c>
      <c r="F86" s="7">
        <v>1617490.8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4" t="s">
        <v>474</v>
      </c>
      <c r="B87" s="35">
        <v>43335</v>
      </c>
      <c r="C87" s="9" t="s">
        <v>301</v>
      </c>
      <c r="D87" s="9" t="s">
        <v>475</v>
      </c>
      <c r="E87" s="9" t="s">
        <v>476</v>
      </c>
      <c r="F87" s="7">
        <v>100000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4" t="s">
        <v>474</v>
      </c>
      <c r="B88" s="35">
        <v>43335</v>
      </c>
      <c r="C88" s="9" t="s">
        <v>301</v>
      </c>
      <c r="D88" s="9" t="s">
        <v>477</v>
      </c>
      <c r="E88" s="9" t="s">
        <v>478</v>
      </c>
      <c r="F88" s="7">
        <v>96174.96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4" t="s">
        <v>474</v>
      </c>
      <c r="B89" s="35">
        <v>43335</v>
      </c>
      <c r="C89" s="9" t="s">
        <v>301</v>
      </c>
      <c r="D89" s="9" t="s">
        <v>479</v>
      </c>
      <c r="E89" s="9" t="s">
        <v>480</v>
      </c>
      <c r="F89" s="7">
        <v>45000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4" t="s">
        <v>474</v>
      </c>
      <c r="B90" s="35">
        <v>43335</v>
      </c>
      <c r="C90" s="9" t="s">
        <v>301</v>
      </c>
      <c r="D90" s="9" t="s">
        <v>481</v>
      </c>
      <c r="E90" s="9" t="s">
        <v>482</v>
      </c>
      <c r="F90" s="7">
        <v>103045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4" t="s">
        <v>474</v>
      </c>
      <c r="B91" s="35">
        <v>43335</v>
      </c>
      <c r="C91" s="9" t="s">
        <v>301</v>
      </c>
      <c r="D91" s="9" t="s">
        <v>483</v>
      </c>
      <c r="E91" s="9" t="s">
        <v>484</v>
      </c>
      <c r="F91" s="7">
        <v>52300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4" t="s">
        <v>474</v>
      </c>
      <c r="B92" s="35">
        <v>43335</v>
      </c>
      <c r="C92" s="9" t="s">
        <v>301</v>
      </c>
      <c r="D92" s="9" t="s">
        <v>485</v>
      </c>
      <c r="E92" s="9" t="s">
        <v>486</v>
      </c>
      <c r="F92" s="7">
        <v>693546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4" t="s">
        <v>474</v>
      </c>
      <c r="B93" s="35">
        <v>43335</v>
      </c>
      <c r="C93" s="9" t="s">
        <v>301</v>
      </c>
      <c r="D93" s="9" t="s">
        <v>487</v>
      </c>
      <c r="E93" s="9" t="s">
        <v>488</v>
      </c>
      <c r="F93" s="7">
        <v>239800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4" t="s">
        <v>474</v>
      </c>
      <c r="B94" s="35">
        <v>43335</v>
      </c>
      <c r="C94" s="9" t="s">
        <v>301</v>
      </c>
      <c r="D94" s="9" t="s">
        <v>489</v>
      </c>
      <c r="E94" s="9" t="s">
        <v>490</v>
      </c>
      <c r="F94" s="7">
        <v>793378.6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4" t="s">
        <v>474</v>
      </c>
      <c r="B95" s="35">
        <v>43335</v>
      </c>
      <c r="C95" s="9" t="s">
        <v>301</v>
      </c>
      <c r="D95" s="9" t="s">
        <v>491</v>
      </c>
      <c r="E95" s="9" t="s">
        <v>492</v>
      </c>
      <c r="F95" s="7">
        <v>55000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4" t="s">
        <v>474</v>
      </c>
      <c r="B96" s="35">
        <v>43335</v>
      </c>
      <c r="C96" s="9" t="s">
        <v>301</v>
      </c>
      <c r="D96" s="9" t="s">
        <v>2</v>
      </c>
      <c r="E96" s="9" t="s">
        <v>493</v>
      </c>
      <c r="F96" s="7">
        <v>857774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4" t="s">
        <v>474</v>
      </c>
      <c r="B97" s="35">
        <v>43335</v>
      </c>
      <c r="C97" s="9" t="s">
        <v>301</v>
      </c>
      <c r="D97" s="9" t="s">
        <v>335</v>
      </c>
      <c r="E97" s="9" t="s">
        <v>494</v>
      </c>
      <c r="F97" s="7">
        <v>8350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4" t="s">
        <v>474</v>
      </c>
      <c r="B98" s="35">
        <v>43335</v>
      </c>
      <c r="C98" s="9" t="s">
        <v>301</v>
      </c>
      <c r="D98" s="9" t="s">
        <v>495</v>
      </c>
      <c r="E98" s="9" t="s">
        <v>496</v>
      </c>
      <c r="F98" s="7">
        <v>33950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4" t="s">
        <v>474</v>
      </c>
      <c r="B99" s="35">
        <v>43335</v>
      </c>
      <c r="C99" s="9" t="s">
        <v>301</v>
      </c>
      <c r="D99" s="9" t="s">
        <v>497</v>
      </c>
      <c r="E99" s="9" t="s">
        <v>498</v>
      </c>
      <c r="F99" s="7">
        <v>48150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4" t="s">
        <v>474</v>
      </c>
      <c r="B100" s="35">
        <v>43335</v>
      </c>
      <c r="C100" s="9" t="s">
        <v>301</v>
      </c>
      <c r="D100" s="9" t="s">
        <v>396</v>
      </c>
      <c r="E100" s="9" t="s">
        <v>499</v>
      </c>
      <c r="F100" s="7">
        <v>53300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4" t="s">
        <v>474</v>
      </c>
      <c r="B101" s="35">
        <v>43335</v>
      </c>
      <c r="C101" s="9" t="s">
        <v>301</v>
      </c>
      <c r="D101" s="9" t="s">
        <v>500</v>
      </c>
      <c r="E101" s="9" t="s">
        <v>501</v>
      </c>
      <c r="F101" s="7">
        <v>41250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4" t="s">
        <v>474</v>
      </c>
      <c r="B102" s="35">
        <v>43335</v>
      </c>
      <c r="C102" s="9" t="s">
        <v>301</v>
      </c>
      <c r="D102" s="9" t="s">
        <v>502</v>
      </c>
      <c r="E102" s="9" t="s">
        <v>503</v>
      </c>
      <c r="F102" s="7">
        <v>30625.93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4" t="s">
        <v>504</v>
      </c>
      <c r="B103" s="35">
        <v>43339</v>
      </c>
      <c r="C103" s="9" t="s">
        <v>301</v>
      </c>
      <c r="D103" s="9" t="s">
        <v>405</v>
      </c>
      <c r="E103" s="9" t="s">
        <v>505</v>
      </c>
      <c r="F103" s="7">
        <v>233100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4" t="s">
        <v>504</v>
      </c>
      <c r="B104" s="35">
        <v>43339</v>
      </c>
      <c r="C104" s="9" t="s">
        <v>301</v>
      </c>
      <c r="D104" s="9" t="s">
        <v>506</v>
      </c>
      <c r="E104" s="9" t="s">
        <v>507</v>
      </c>
      <c r="F104" s="7">
        <v>902165.46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4" t="s">
        <v>504</v>
      </c>
      <c r="B105" s="35">
        <v>43339</v>
      </c>
      <c r="C105" s="9" t="s">
        <v>301</v>
      </c>
      <c r="D105" s="9" t="s">
        <v>508</v>
      </c>
      <c r="E105" s="9" t="s">
        <v>509</v>
      </c>
      <c r="F105" s="7">
        <v>84950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4" t="s">
        <v>504</v>
      </c>
      <c r="B106" s="35">
        <v>43339</v>
      </c>
      <c r="C106" s="9" t="s">
        <v>301</v>
      </c>
      <c r="D106" s="9" t="s">
        <v>510</v>
      </c>
      <c r="E106" s="9" t="s">
        <v>511</v>
      </c>
      <c r="F106" s="7">
        <v>23980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4" t="s">
        <v>504</v>
      </c>
      <c r="B107" s="35">
        <v>43339</v>
      </c>
      <c r="C107" s="9" t="s">
        <v>301</v>
      </c>
      <c r="D107" s="9" t="s">
        <v>510</v>
      </c>
      <c r="E107" s="9" t="s">
        <v>512</v>
      </c>
      <c r="F107" s="7">
        <v>3330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4" t="s">
        <v>504</v>
      </c>
      <c r="B108" s="35">
        <v>43339</v>
      </c>
      <c r="C108" s="9" t="s">
        <v>301</v>
      </c>
      <c r="D108" s="9" t="s">
        <v>510</v>
      </c>
      <c r="E108" s="9" t="s">
        <v>513</v>
      </c>
      <c r="F108" s="7">
        <v>1825838.98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4" t="s">
        <v>504</v>
      </c>
      <c r="B109" s="35">
        <v>43339</v>
      </c>
      <c r="C109" s="9" t="s">
        <v>301</v>
      </c>
      <c r="D109" s="9" t="s">
        <v>510</v>
      </c>
      <c r="E109" s="9" t="s">
        <v>514</v>
      </c>
      <c r="F109" s="7">
        <v>9434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4" t="s">
        <v>504</v>
      </c>
      <c r="B110" s="35">
        <v>43339</v>
      </c>
      <c r="C110" s="9" t="s">
        <v>301</v>
      </c>
      <c r="D110" s="9" t="s">
        <v>510</v>
      </c>
      <c r="E110" s="9" t="s">
        <v>515</v>
      </c>
      <c r="F110" s="7">
        <v>9434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4" t="s">
        <v>504</v>
      </c>
      <c r="B111" s="35">
        <v>43339</v>
      </c>
      <c r="C111" s="9" t="s">
        <v>301</v>
      </c>
      <c r="D111" s="9" t="s">
        <v>420</v>
      </c>
      <c r="E111" s="9" t="s">
        <v>516</v>
      </c>
      <c r="F111" s="7">
        <v>309000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4" t="s">
        <v>504</v>
      </c>
      <c r="B112" s="35">
        <v>43339</v>
      </c>
      <c r="C112" s="9" t="s">
        <v>301</v>
      </c>
      <c r="D112" s="9" t="s">
        <v>491</v>
      </c>
      <c r="E112" s="9" t="s">
        <v>517</v>
      </c>
      <c r="F112" s="7">
        <v>55000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4" t="s">
        <v>504</v>
      </c>
      <c r="B113" s="35">
        <v>43339</v>
      </c>
      <c r="C113" s="9" t="s">
        <v>301</v>
      </c>
      <c r="D113" s="9" t="s">
        <v>430</v>
      </c>
      <c r="E113" s="9" t="s">
        <v>518</v>
      </c>
      <c r="F113" s="7">
        <v>61810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4"/>
      <c r="B114" s="35"/>
      <c r="C114" s="9"/>
      <c r="D114" s="9"/>
      <c r="E114" s="9"/>
      <c r="F114" s="38"/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4"/>
      <c r="B115" s="35"/>
      <c r="C115" s="9"/>
      <c r="D115" s="9"/>
      <c r="E115" s="9"/>
      <c r="F115" s="38"/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4"/>
      <c r="B116" s="35"/>
      <c r="C116" s="9"/>
      <c r="D116" s="9"/>
      <c r="E116" s="9"/>
      <c r="F116" s="38"/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4"/>
      <c r="B117" s="35"/>
      <c r="C117" s="9"/>
      <c r="D117" s="9"/>
      <c r="E117" s="9"/>
      <c r="F117" s="38"/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4"/>
      <c r="B118" s="35"/>
      <c r="C118" s="9"/>
      <c r="D118" s="9"/>
      <c r="E118" s="9"/>
      <c r="F118" s="38"/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4"/>
      <c r="B119" s="35"/>
      <c r="C119" s="9"/>
      <c r="D119" s="9"/>
      <c r="E119" s="9"/>
      <c r="F119" s="38"/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4"/>
      <c r="B120" s="35"/>
      <c r="C120" s="9"/>
      <c r="D120" s="9"/>
      <c r="E120" s="9"/>
      <c r="F120" s="38"/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4"/>
      <c r="B121" s="35"/>
      <c r="C121" s="9"/>
      <c r="D121" s="9"/>
      <c r="E121" s="9"/>
      <c r="F121" s="38"/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4"/>
      <c r="B122" s="35"/>
      <c r="C122" s="9"/>
      <c r="D122" s="9"/>
      <c r="E122" s="9"/>
      <c r="F122" s="38"/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4"/>
      <c r="B123" s="35"/>
      <c r="C123" s="9"/>
      <c r="D123" s="9"/>
      <c r="E123" s="9"/>
      <c r="F123" s="38"/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4"/>
      <c r="B124" s="35"/>
      <c r="C124" s="9"/>
      <c r="D124" s="9"/>
      <c r="E124" s="9"/>
      <c r="F124" s="38"/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4"/>
      <c r="B125" s="35"/>
      <c r="C125" s="9"/>
      <c r="D125" s="9"/>
      <c r="E125" s="9"/>
      <c r="F125" s="38"/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4"/>
      <c r="B126" s="35"/>
      <c r="C126" s="9"/>
      <c r="D126" s="9"/>
      <c r="E126" s="9"/>
      <c r="F126" s="38"/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4"/>
      <c r="B127" s="35"/>
      <c r="C127" s="9"/>
      <c r="D127" s="9"/>
      <c r="E127" s="9"/>
      <c r="F127" s="38"/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4"/>
      <c r="B128" s="35"/>
      <c r="C128" s="9"/>
      <c r="D128" s="9"/>
      <c r="E128" s="9"/>
      <c r="F128" s="38"/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4"/>
      <c r="B129" s="35"/>
      <c r="C129" s="9"/>
      <c r="D129" s="9"/>
      <c r="E129" s="9"/>
      <c r="F129" s="38"/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4"/>
      <c r="B130" s="35"/>
      <c r="C130" s="9"/>
      <c r="D130" s="9"/>
      <c r="E130" s="9"/>
      <c r="F130" s="38"/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4"/>
      <c r="B131" s="35"/>
      <c r="C131" s="9"/>
      <c r="D131" s="9"/>
      <c r="E131" s="9"/>
      <c r="F131" s="38"/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4"/>
      <c r="B132" s="35"/>
      <c r="C132" s="9"/>
      <c r="D132" s="9"/>
      <c r="E132" s="9"/>
      <c r="F132" s="38"/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4"/>
      <c r="B133" s="35"/>
      <c r="C133" s="9"/>
      <c r="D133" s="9"/>
      <c r="E133" s="9"/>
      <c r="F133" s="38"/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4"/>
      <c r="B134" s="35"/>
      <c r="C134" s="9"/>
      <c r="D134" s="9"/>
      <c r="E134" s="9"/>
      <c r="F134" s="38"/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4"/>
      <c r="B135" s="35"/>
      <c r="C135" s="9"/>
      <c r="D135" s="9"/>
      <c r="E135" s="9"/>
      <c r="F135" s="38"/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4"/>
      <c r="B136" s="35"/>
      <c r="C136" s="9"/>
      <c r="D136" s="9"/>
      <c r="E136" s="9"/>
      <c r="F136" s="38"/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4"/>
      <c r="B137" s="35"/>
      <c r="C137" s="9"/>
      <c r="D137" s="9"/>
      <c r="E137" s="9"/>
      <c r="F137" s="38"/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4"/>
      <c r="B138" s="35"/>
      <c r="C138" s="9"/>
      <c r="D138" s="9"/>
      <c r="E138" s="9"/>
      <c r="F138" s="38"/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4"/>
      <c r="B139" s="35"/>
      <c r="C139" s="9"/>
      <c r="D139" s="9"/>
      <c r="E139" s="9"/>
      <c r="F139" s="38"/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4"/>
      <c r="B140" s="35"/>
      <c r="C140" s="9"/>
      <c r="D140" s="9"/>
      <c r="E140" s="9"/>
      <c r="F140" s="38"/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4"/>
      <c r="B141" s="35"/>
      <c r="C141" s="9"/>
      <c r="D141" s="9"/>
      <c r="E141" s="9"/>
      <c r="F141" s="38"/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4"/>
      <c r="B142" s="35"/>
      <c r="C142" s="9"/>
      <c r="D142" s="9"/>
      <c r="E142" s="9"/>
      <c r="F142" s="38"/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4"/>
      <c r="B143" s="35"/>
      <c r="C143" s="9"/>
      <c r="D143" s="9"/>
      <c r="E143" s="9"/>
      <c r="F143" s="38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4"/>
      <c r="B144" s="35"/>
      <c r="C144" s="9"/>
      <c r="D144" s="9"/>
      <c r="E144" s="9"/>
      <c r="F144" s="38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4"/>
      <c r="B145" s="35"/>
      <c r="C145" s="9"/>
      <c r="D145" s="9"/>
      <c r="E145" s="9"/>
      <c r="F145" s="38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4"/>
      <c r="B146" s="35"/>
      <c r="C146" s="9"/>
      <c r="D146" s="9"/>
      <c r="E146" s="9"/>
      <c r="F146" s="38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4"/>
      <c r="B147" s="35"/>
      <c r="C147" s="9"/>
      <c r="D147" s="9"/>
      <c r="E147" s="9"/>
      <c r="F147" s="38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4"/>
      <c r="B148" s="35"/>
      <c r="C148" s="9"/>
      <c r="D148" s="9"/>
      <c r="E148" s="9"/>
      <c r="F148" s="38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4"/>
      <c r="B149" s="35"/>
      <c r="C149" s="9"/>
      <c r="D149" s="9"/>
      <c r="E149" s="9"/>
      <c r="F149" s="38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4"/>
      <c r="B150" s="35"/>
      <c r="C150" s="9"/>
      <c r="D150" s="9"/>
      <c r="E150" s="9"/>
      <c r="F150" s="38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4"/>
      <c r="B151" s="35"/>
      <c r="C151" s="9"/>
      <c r="D151" s="9"/>
      <c r="E151" s="9"/>
      <c r="F151" s="38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4"/>
      <c r="B152" s="35"/>
      <c r="C152" s="9"/>
      <c r="D152" s="9"/>
      <c r="E152" s="9"/>
      <c r="F152" s="38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4"/>
      <c r="B153" s="35"/>
      <c r="C153" s="9"/>
      <c r="D153" s="9"/>
      <c r="E153" s="9"/>
      <c r="F153" s="38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4"/>
      <c r="B154" s="35"/>
      <c r="C154" s="9"/>
      <c r="D154" s="9"/>
      <c r="E154" s="9"/>
      <c r="F154" s="38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4"/>
      <c r="B155" s="35"/>
      <c r="C155" s="9"/>
      <c r="D155" s="9"/>
      <c r="E155" s="9"/>
      <c r="F155" s="38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4"/>
      <c r="B156" s="35"/>
      <c r="C156" s="9"/>
      <c r="D156" s="9"/>
      <c r="E156" s="9"/>
      <c r="F156" s="38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4"/>
      <c r="B157" s="35"/>
      <c r="C157" s="9"/>
      <c r="D157" s="9"/>
      <c r="E157" s="9"/>
      <c r="F157" s="38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4"/>
      <c r="B158" s="35"/>
      <c r="C158" s="9"/>
      <c r="D158" s="9"/>
      <c r="E158" s="9"/>
      <c r="F158" s="38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4"/>
      <c r="B159" s="35"/>
      <c r="C159" s="9"/>
      <c r="D159" s="9"/>
      <c r="E159" s="9"/>
      <c r="F159" s="38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4"/>
      <c r="B160" s="35"/>
      <c r="C160" s="9"/>
      <c r="D160" s="9"/>
      <c r="E160" s="9"/>
      <c r="F160" s="38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4"/>
      <c r="B161" s="35"/>
      <c r="C161" s="9"/>
      <c r="D161" s="9"/>
      <c r="E161" s="9"/>
      <c r="F161" s="38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4"/>
      <c r="B162" s="35"/>
      <c r="C162" s="9"/>
      <c r="D162" s="9"/>
      <c r="E162" s="9"/>
      <c r="F162" s="38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4"/>
      <c r="B163" s="35"/>
      <c r="C163" s="9"/>
      <c r="D163" s="9"/>
      <c r="E163" s="9"/>
      <c r="F163" s="38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4"/>
      <c r="B164" s="35"/>
      <c r="C164" s="9"/>
      <c r="D164" s="9"/>
      <c r="E164" s="9"/>
      <c r="F164" s="38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4"/>
      <c r="B165" s="35"/>
      <c r="C165" s="9"/>
      <c r="D165" s="9"/>
      <c r="E165" s="9"/>
      <c r="F165" s="38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4"/>
      <c r="B166" s="35"/>
      <c r="C166" s="9"/>
      <c r="D166" s="9"/>
      <c r="E166" s="9"/>
      <c r="F166" s="38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4"/>
      <c r="B167" s="35"/>
      <c r="C167" s="9"/>
      <c r="D167" s="9"/>
      <c r="E167" s="9"/>
      <c r="F167" s="38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4"/>
      <c r="B168" s="35"/>
      <c r="C168" s="9"/>
      <c r="D168" s="9"/>
      <c r="E168" s="9"/>
      <c r="F168" s="38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4"/>
      <c r="B169" s="35"/>
      <c r="C169" s="9"/>
      <c r="D169" s="9"/>
      <c r="E169" s="9"/>
      <c r="F169" s="38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4"/>
      <c r="B201" s="35"/>
      <c r="C201" s="9"/>
      <c r="D201" s="9"/>
      <c r="E201" s="37"/>
      <c r="F201" s="38"/>
    </row>
    <row r="202" spans="1:23">
      <c r="A202" s="34"/>
      <c r="B202" s="35"/>
      <c r="C202" s="9"/>
      <c r="D202" s="9"/>
      <c r="E202" s="37"/>
      <c r="F202" s="38"/>
    </row>
    <row r="203" spans="1:23">
      <c r="A203" s="34"/>
      <c r="B203" s="35"/>
      <c r="C203" s="9"/>
      <c r="D203" s="9"/>
      <c r="E203" s="37"/>
      <c r="F203" s="38"/>
    </row>
    <row r="204" spans="1:23">
      <c r="A204" s="34"/>
      <c r="B204" s="35"/>
      <c r="C204" s="9"/>
      <c r="D204" s="9"/>
      <c r="E204" s="37"/>
      <c r="F204" s="38"/>
    </row>
    <row r="205" spans="1:23">
      <c r="A205" s="34"/>
      <c r="B205" s="35"/>
      <c r="C205" s="9"/>
      <c r="D205" s="9"/>
      <c r="E205" s="37"/>
      <c r="F205" s="38"/>
    </row>
    <row r="206" spans="1:23">
      <c r="A206" s="34"/>
      <c r="B206" s="35"/>
      <c r="C206" s="9"/>
      <c r="D206" s="9"/>
      <c r="E206" s="37"/>
      <c r="F206" s="38"/>
    </row>
    <row r="207" spans="1:23">
      <c r="A207" s="34"/>
      <c r="B207" s="35"/>
      <c r="C207" s="9"/>
      <c r="D207" s="9"/>
      <c r="E207" s="37"/>
      <c r="F207" s="38"/>
    </row>
    <row r="208" spans="1:23">
      <c r="A208" s="34"/>
      <c r="B208" s="35"/>
      <c r="C208" s="9"/>
      <c r="D208" s="9"/>
      <c r="E208" s="37"/>
      <c r="F208" s="38"/>
    </row>
    <row r="209" spans="1:6">
      <c r="A209" s="34"/>
      <c r="B209" s="35"/>
      <c r="C209" s="9"/>
      <c r="D209" s="9"/>
      <c r="E209" s="37"/>
      <c r="F209" s="38"/>
    </row>
    <row r="210" spans="1:6">
      <c r="A210" s="34"/>
      <c r="B210" s="35"/>
      <c r="C210" s="9"/>
      <c r="D210" s="9"/>
      <c r="E210" s="37"/>
      <c r="F210" s="38"/>
    </row>
    <row r="211" spans="1:6">
      <c r="A211" s="34"/>
      <c r="B211" s="35"/>
      <c r="C211" s="9"/>
      <c r="D211" s="9"/>
      <c r="E211" s="37"/>
      <c r="F211" s="38"/>
    </row>
    <row r="212" spans="1:6">
      <c r="A212" s="34"/>
      <c r="B212" s="35"/>
      <c r="C212" s="9"/>
      <c r="D212" s="9"/>
      <c r="E212" s="37"/>
      <c r="F212" s="38"/>
    </row>
    <row r="213" spans="1:6">
      <c r="A213" s="34"/>
      <c r="B213" s="35"/>
      <c r="C213" s="9"/>
      <c r="D213" s="9"/>
      <c r="E213" s="37"/>
      <c r="F213" s="38"/>
    </row>
    <row r="214" spans="1:6">
      <c r="A214" s="34"/>
      <c r="B214" s="35"/>
      <c r="C214" s="9"/>
      <c r="D214" s="9"/>
      <c r="E214" s="37"/>
      <c r="F214" s="38"/>
    </row>
    <row r="215" spans="1:6">
      <c r="A215" s="34"/>
      <c r="B215" s="35"/>
      <c r="C215" s="9"/>
      <c r="D215" s="9"/>
      <c r="E215" s="37"/>
      <c r="F215" s="38"/>
    </row>
    <row r="216" spans="1:6">
      <c r="A216" s="34"/>
      <c r="B216" s="35"/>
      <c r="C216" s="9"/>
      <c r="D216" s="9"/>
      <c r="E216" s="37"/>
      <c r="F216" s="38"/>
    </row>
    <row r="217" spans="1:6">
      <c r="A217" s="34"/>
      <c r="B217" s="35"/>
      <c r="C217" s="9"/>
      <c r="D217" s="9"/>
      <c r="E217" s="37"/>
      <c r="F217" s="38"/>
    </row>
    <row r="218" spans="1:6">
      <c r="A218" s="34"/>
      <c r="B218" s="35"/>
      <c r="C218" s="9"/>
      <c r="D218" s="9"/>
      <c r="E218" s="37"/>
      <c r="F218" s="38"/>
    </row>
    <row r="219" spans="1:6">
      <c r="A219" s="34"/>
      <c r="B219" s="35"/>
      <c r="C219" s="9"/>
      <c r="D219" s="9"/>
      <c r="E219" s="37"/>
      <c r="F219" s="38"/>
    </row>
    <row r="220" spans="1:6">
      <c r="A220" s="34"/>
      <c r="B220" s="35"/>
      <c r="C220" s="9"/>
      <c r="D220" s="9"/>
      <c r="E220" s="37"/>
      <c r="F220" s="38"/>
    </row>
    <row r="221" spans="1:6">
      <c r="A221" s="34"/>
      <c r="B221" s="35"/>
      <c r="C221" s="9"/>
      <c r="D221" s="9"/>
      <c r="E221" s="37"/>
      <c r="F221" s="38"/>
    </row>
    <row r="222" spans="1:6">
      <c r="A222" s="34"/>
      <c r="B222" s="35"/>
      <c r="C222" s="9"/>
      <c r="D222" s="9"/>
      <c r="E222" s="37"/>
      <c r="F222" s="38"/>
    </row>
    <row r="223" spans="1:6">
      <c r="A223" s="34"/>
      <c r="B223" s="35"/>
      <c r="C223" s="9"/>
      <c r="D223" s="9"/>
      <c r="E223" s="37"/>
      <c r="F223" s="38"/>
    </row>
    <row r="224" spans="1:6">
      <c r="A224" s="34"/>
      <c r="B224" s="35"/>
      <c r="C224" s="9"/>
      <c r="D224" s="9"/>
      <c r="E224" s="37"/>
      <c r="F224" s="38"/>
    </row>
    <row r="225" spans="1:6">
      <c r="A225" s="34"/>
      <c r="B225" s="35"/>
      <c r="C225" s="9"/>
      <c r="D225" s="9"/>
      <c r="E225" s="37"/>
      <c r="F225" s="38"/>
    </row>
    <row r="226" spans="1:6">
      <c r="A226" s="34"/>
      <c r="B226" s="35"/>
      <c r="C226" s="9"/>
      <c r="D226" s="9"/>
      <c r="E226" s="37"/>
      <c r="F226" s="38"/>
    </row>
    <row r="227" spans="1:6">
      <c r="A227" s="34"/>
      <c r="B227" s="35"/>
      <c r="C227" s="9"/>
      <c r="D227" s="9"/>
      <c r="E227" s="37"/>
      <c r="F227" s="38"/>
    </row>
    <row r="228" spans="1:6">
      <c r="A228" s="34"/>
      <c r="B228" s="35"/>
      <c r="C228" s="9"/>
      <c r="D228" s="9"/>
      <c r="E228" s="37"/>
      <c r="F228" s="38"/>
    </row>
    <row r="229" spans="1:6">
      <c r="A229" s="34"/>
      <c r="B229" s="35"/>
      <c r="C229" s="9"/>
      <c r="D229" s="9"/>
      <c r="E229" s="37"/>
      <c r="F229" s="38"/>
    </row>
    <row r="230" spans="1:6">
      <c r="A230" s="34"/>
      <c r="B230" s="35"/>
      <c r="C230" s="9"/>
      <c r="D230" s="9"/>
      <c r="E230" s="37"/>
      <c r="F230" s="38"/>
    </row>
    <row r="231" spans="1:6">
      <c r="A231" s="34"/>
      <c r="B231" s="35"/>
      <c r="C231" s="9"/>
      <c r="D231" s="9"/>
      <c r="E231" s="37"/>
      <c r="F231" s="38"/>
    </row>
    <row r="232" spans="1:6">
      <c r="A232" s="34"/>
      <c r="B232" s="35"/>
      <c r="C232" s="9"/>
      <c r="D232" s="9"/>
      <c r="E232" s="37"/>
      <c r="F232" s="38"/>
    </row>
    <row r="233" spans="1:6">
      <c r="A233" s="34"/>
      <c r="B233" s="35"/>
      <c r="C233" s="9"/>
      <c r="D233" s="9"/>
      <c r="E233" s="37"/>
      <c r="F233" s="38"/>
    </row>
    <row r="234" spans="1:6">
      <c r="A234" s="34"/>
      <c r="B234" s="35"/>
      <c r="C234" s="9"/>
      <c r="D234" s="9"/>
      <c r="E234" s="37"/>
      <c r="F234" s="38"/>
    </row>
    <row r="235" spans="1:6">
      <c r="A235" s="34"/>
      <c r="B235" s="35"/>
      <c r="C235" s="9"/>
      <c r="D235" s="9"/>
      <c r="E235" s="37"/>
      <c r="F235" s="38"/>
    </row>
    <row r="236" spans="1:6">
      <c r="A236" s="34"/>
      <c r="B236" s="35"/>
      <c r="C236" s="9"/>
      <c r="D236" s="9"/>
      <c r="E236" s="37"/>
      <c r="F236" s="38"/>
    </row>
    <row r="237" spans="1:6">
      <c r="A237" s="34"/>
      <c r="B237" s="35"/>
      <c r="C237" s="9"/>
      <c r="D237" s="9"/>
      <c r="E237" s="37"/>
      <c r="F237" s="38"/>
    </row>
    <row r="238" spans="1:6">
      <c r="A238" s="34"/>
      <c r="B238" s="35"/>
      <c r="C238" s="9"/>
      <c r="D238" s="9"/>
      <c r="E238" s="37"/>
      <c r="F238" s="38"/>
    </row>
    <row r="239" spans="1:6">
      <c r="A239" s="34"/>
      <c r="B239" s="35"/>
      <c r="C239" s="9"/>
      <c r="D239" s="9"/>
      <c r="E239" s="37"/>
      <c r="F239" s="38"/>
    </row>
    <row r="240" spans="1:6">
      <c r="A240" s="34"/>
      <c r="B240" s="35"/>
      <c r="C240" s="9"/>
      <c r="D240" s="9"/>
      <c r="E240" s="37"/>
      <c r="F240" s="38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2022-11-01T17:50:27Z</dcterms:modified>
  <cp:category/>
  <cp:contentStatus/>
</cp:coreProperties>
</file>