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15" windowWidth="15195" windowHeight="3090" activeTab="0"/>
  </bookViews>
  <sheets>
    <sheet name="EJECUCION PRESUP.NOVIEMBRE-2017" sheetId="1" r:id="rId1"/>
    <sheet name="DETALLE DE EJECUCION POR MES" sheetId="2" r:id="rId2"/>
    <sheet name="GASTOS MES DE NOVIEMBRE 2017" sheetId="3" r:id="rId3"/>
  </sheets>
  <definedNames>
    <definedName name="_xlnm.Print_Titles" localSheetId="0">'EJECUCION PRESUP.NOVIEMBRE-2017'!$4:$4</definedName>
  </definedNames>
  <calcPr fullCalcOnLoad="1"/>
</workbook>
</file>

<file path=xl/sharedStrings.xml><?xml version="1.0" encoding="utf-8"?>
<sst xmlns="http://schemas.openxmlformats.org/spreadsheetml/2006/main" count="1052" uniqueCount="583">
  <si>
    <t>Defensoría Habitantes, SPMPO Nº114, Reintegro Fdo.Trabajo-2017 DHR  Res.100111 ¢46,100 y Res.100127 ¢23,400  Reg.103-808-10101</t>
  </si>
  <si>
    <t>Defensoría Habitantes, SPMPO Nº114, Reintegro Fdo.Trabajo-2017 DHR  Res.100079  Reg.103-808-10303</t>
  </si>
  <si>
    <t>Defensoría Habitantes, SPMPO Nº114, Reintegro Fdo.Trabajo-2017 DHR  Res.100113  Reg.103-808-10304</t>
  </si>
  <si>
    <t>Defensoría Habitantes, SPMPO Nº114, Reintegro Fdo.Trabajo-2017 DHR  Res.100091 ¢1,929 y Res.1000128 ¢80,244  Reg.103-808-10306</t>
  </si>
  <si>
    <t>Defensoría Habitantes, SPMPO Nº114, Reintegro Fdo.Trabajo-2017 DHR  Res.100125  Reg.103-808-10406</t>
  </si>
  <si>
    <t>Defensoría Habitantes, SPMPO Nº114, Reintegro Fdo.Trabajo-2017 DHR  Res.100099 ¢14,535 y Res.100129 ¢173,360  Reg.103-808-10501</t>
  </si>
  <si>
    <t>Defensoría Habitantes, SPMPO Nº114, Reintegro Fdo.Trabajo-2017 DHR  Res.100108  Reg.103-808-10502</t>
  </si>
  <si>
    <t>Defensoría Habitantes, SPMPO Nº114, Reintegro Fdo.Trabajo-2017 DHR  Res.100077 ¢28,883 y Res.100130 ¢4,097  Reg.103-808-10701</t>
  </si>
  <si>
    <t>Defensoría Habitantes, SPMPO Nº114, Reintegro Fdo.Trabajo-2017 DHR  Res.100057 ¢81,370 y Res.100131 ¢42,240  Reg.103-808-10702</t>
  </si>
  <si>
    <t>Defensoría Habitantes, SPMPO Nº114, Reintegro Fdo.Trabajo-2017 DHR  Res.100100 ¢25,691.50 y Res.100132 ¢2,308.50  Reg.103-808-10805</t>
  </si>
  <si>
    <t>Defensoría Habitantes, SPMPO Nº114, Reintegro Fdo.Trabajo-2017 DHR  Res.100102  Reg.103-808-20104</t>
  </si>
  <si>
    <t>Defensoría Habitantes, SPMPO Nº114, Reintegro Fdo.Trabajo-2017 DHR  Res.100059  Reg.103-808-20203</t>
  </si>
  <si>
    <t>TOTAL INGRESOS RECIBIDOS AL 30 DE NOVIEMBRE DEL 2017</t>
  </si>
  <si>
    <t>Defensoría Habitantes, SPMPO Nº114, Reintegro Fdo.Trabajo-2017 DHR  Res.100084  Reg.103-808-20301</t>
  </si>
  <si>
    <t>Defensoría Habitantes, SPMPO Nº114, Reintegro Fdo.Trabajo-2017 DHR  Res.100119 ¢4,4454.61 y Res.100134 ¢9,935.39  Reg.103-808-20304</t>
  </si>
  <si>
    <t>Defensoría Habitantes, SPMPO Nº114, Reintegro Fdo.Trabajo-2017 DHR  Res.100104  Reg.103-808-20399</t>
  </si>
  <si>
    <t>Defensoría Habitantes, SPMPO Nº114, Reintegro Fdo.Trabajo-2017 DHR  Res.100121 ¢19,734.81 y Res.100135 ¢36,545.19  Reg.103-808-20402</t>
  </si>
  <si>
    <t>Defensoría Habitantes, SPMPO Nº114, Reintegro Fdo.Trabajo-2017 DHR  Res.100122 ¢6,055 y Res.100136 ¢25,395  Reg.103-808-29901</t>
  </si>
  <si>
    <t>Defensoría Habitantes, SPMPO Nº114, Reintegro Fdo.Trabajo-2017 DHR  Res.100089 ¢45,730.66 y Res.100137 ¢26,546.34  Reg.103-808-29903</t>
  </si>
  <si>
    <t>Defensoría Habitantes, SPMPO Nº114, Reintegro Fdo.Trabajo-2017 DHR  Res.100123 ¢5,810 y Res.100138 ¢13,690  Reg.103-808-29904</t>
  </si>
  <si>
    <t>Defensoría Habitantes, SPMPO Nº114, Reintegro Fdo.Trabajo-2017 DHR  Res.100124 ¢24,185 y Res.100139 ¢25,584  Reg.103-808-29999</t>
  </si>
  <si>
    <t>SPMPO-116-2017 CTA #TRANF.CTES</t>
  </si>
  <si>
    <t>Defensoría Habitantes, SPMPO N°116, Serv.Electricidad Ofic.Reg.Liberia OCT-17  Fact.Gob.742-17  OP.17142/SP.200220  Reg.103-808-10202 (Venció 16/11/17 NISE 667461)</t>
  </si>
  <si>
    <t>ADELANTO GIRA A PUNTARENAS, TRASLADO A FUNCIONARIOS</t>
  </si>
  <si>
    <t>ADELANTO GIRA A SAN JOSE  REUNION COORDINADORES Y A GUATUSO CHARLAS RELACIONES IMPROPIAS</t>
  </si>
  <si>
    <t>DECRETO H-006</t>
  </si>
  <si>
    <t xml:space="preserve">DETALLE DEL GASTO,  EJECUCION PRESUPUESTARIA </t>
  </si>
  <si>
    <t>DEFENSORIA DE LOS HABITANTES DE LA REPUBLICA</t>
  </si>
  <si>
    <t xml:space="preserve">GRUPO </t>
  </si>
  <si>
    <t xml:space="preserve">SUB PARTIDA DE GASTOS </t>
  </si>
  <si>
    <t>Gasto Objeto</t>
  </si>
  <si>
    <t>Solicitado</t>
  </si>
  <si>
    <t>Comprometido</t>
  </si>
  <si>
    <t>PAGADO</t>
  </si>
  <si>
    <t>Pagado</t>
  </si>
  <si>
    <t>Cuota</t>
  </si>
  <si>
    <t>Cuota Actual</t>
  </si>
  <si>
    <t>Disponible Acumulado</t>
  </si>
  <si>
    <t>% EJECUCIÓN</t>
  </si>
  <si>
    <t xml:space="preserve">REMUNERACION  </t>
  </si>
  <si>
    <t>Sueldos para cargos fijos</t>
  </si>
  <si>
    <t>Suplencias</t>
  </si>
  <si>
    <t xml:space="preserve"> </t>
  </si>
  <si>
    <t>Tiempo extraordinario</t>
  </si>
  <si>
    <t xml:space="preserve">Recargo de Funciones </t>
  </si>
  <si>
    <t>Retribución por años servidos</t>
  </si>
  <si>
    <t>Restricción al ejercicio laboral</t>
  </si>
  <si>
    <t>Décimo tercer mes</t>
  </si>
  <si>
    <t>Salario escolar</t>
  </si>
  <si>
    <t>Otros incentivos salariales</t>
  </si>
  <si>
    <t>Contrib. Patronal al seguro de salud</t>
  </si>
  <si>
    <t>Contrib. Patronal al banco popular</t>
  </si>
  <si>
    <t>Contrib part. al seguro de pensiones</t>
  </si>
  <si>
    <t>Aporte part. régimen oblig. de pens.</t>
  </si>
  <si>
    <t>Aporte patronal de fondo de cap.Lab.</t>
  </si>
  <si>
    <t>Contrib. Part. otros fondos Adm.</t>
  </si>
  <si>
    <t>TOTAL REMUNERACIONES</t>
  </si>
  <si>
    <t>SERVICIOS</t>
  </si>
  <si>
    <t>Alquileres de edificios y locales</t>
  </si>
  <si>
    <t xml:space="preserve">Alquileres y Derechos de Telecomunicaciones </t>
  </si>
  <si>
    <t>Otros alquileres</t>
  </si>
  <si>
    <t>Servicios de agua y alcantarillado</t>
  </si>
  <si>
    <t>Servicios de energía eléctrica</t>
  </si>
  <si>
    <t>Servicios de Correo</t>
  </si>
  <si>
    <t>Servicios de telecomunicaciones</t>
  </si>
  <si>
    <t>Otros servicios básicos</t>
  </si>
  <si>
    <t xml:space="preserve">Información (Publicaciones) </t>
  </si>
  <si>
    <t>Impresión y encuadernación</t>
  </si>
  <si>
    <t xml:space="preserve">Transporte de Bienes </t>
  </si>
  <si>
    <t xml:space="preserve">Comisiones por Servicios Bancarios </t>
  </si>
  <si>
    <t>Servicios de Transferencia Electronica de Información</t>
  </si>
  <si>
    <t>Servicios de Desarrollo de Sistemas Informáticos</t>
  </si>
  <si>
    <t>Servicios Generales (Miscelaneos y Seguridad)</t>
  </si>
  <si>
    <t>Otros servicios de gestión y apoyo</t>
  </si>
  <si>
    <t>Transporte dentro del país</t>
  </si>
  <si>
    <t>Viáticos dentro del país</t>
  </si>
  <si>
    <t xml:space="preserve">Transporte al Exterior </t>
  </si>
  <si>
    <t>Viaticos al Exterior</t>
  </si>
  <si>
    <t>Seguros</t>
  </si>
  <si>
    <t>Actividades de capacitación</t>
  </si>
  <si>
    <t>Actividades protocolarias y sociales</t>
  </si>
  <si>
    <t>Gastos de representación</t>
  </si>
  <si>
    <t>Mantenimiento de edificios y locales</t>
  </si>
  <si>
    <t>Mant. Y reparación de maquinaria.</t>
  </si>
  <si>
    <t>Mant. Y reparación de equipos de trans.</t>
  </si>
  <si>
    <t>Mant. Equipo de Comunicación</t>
  </si>
  <si>
    <t>Mant. Equipo y Mob de Oficina</t>
  </si>
  <si>
    <t>Mant. Y rep de equipo de computo</t>
  </si>
  <si>
    <t>Mant. Y Rep. De otros Equipos</t>
  </si>
  <si>
    <t>Otros Impuestos (Marchamos)</t>
  </si>
  <si>
    <t>Deducibles(Accidentes)</t>
  </si>
  <si>
    <t>TOTAL SERVICIOS</t>
  </si>
  <si>
    <t xml:space="preserve">MATERIALES Y SUMINISTROS </t>
  </si>
  <si>
    <t>Combustibles y lubricantes</t>
  </si>
  <si>
    <t>Productos farmacéuticos y medicinales</t>
  </si>
  <si>
    <t>Tintas, pinturas y diluyentes</t>
  </si>
  <si>
    <t>Otros Productos Quimicos y Conexos</t>
  </si>
  <si>
    <t>Productos Agroforestales</t>
  </si>
  <si>
    <t>Alimentos y bebidas</t>
  </si>
  <si>
    <t>Materiales y productos metálicos</t>
  </si>
  <si>
    <t>Mat. Y Prod. Minerales y Asfalticos</t>
  </si>
  <si>
    <t>Madera y sus Derivados</t>
  </si>
  <si>
    <t>Materiales productos electrónicos, telefonicos y computo</t>
  </si>
  <si>
    <t>Materiales y productos de vidrio</t>
  </si>
  <si>
    <t>Materiales y productos de plástico</t>
  </si>
  <si>
    <t>Otros Mat. y productos de uso en construc. y mantenim.</t>
  </si>
  <si>
    <t>Repuestos y accesorios</t>
  </si>
  <si>
    <t>Útiles, materiales de oficina y computo</t>
  </si>
  <si>
    <t>Útiles, materiales medico hospitalario</t>
  </si>
  <si>
    <t>Productos de papel, cartón e impresos</t>
  </si>
  <si>
    <t>Textiles y vestuario</t>
  </si>
  <si>
    <t>Útiles y materiales de limpieza</t>
  </si>
  <si>
    <t>Útiles y materiales de cocina y comedor</t>
  </si>
  <si>
    <t xml:space="preserve">Otros Utiles y Materiales </t>
  </si>
  <si>
    <t>TOTAL MATERIALES Y SUMINISTROS</t>
  </si>
  <si>
    <t>Equipo de Transporte</t>
  </si>
  <si>
    <t>Equipo de Comunicación</t>
  </si>
  <si>
    <t xml:space="preserve">BIENES DURADEROS </t>
  </si>
  <si>
    <t>Equipo Mobiliario de Oficina</t>
  </si>
  <si>
    <t>Equipo y programas de computo</t>
  </si>
  <si>
    <t>Equipo sanitario, de laboratorio e investigación</t>
  </si>
  <si>
    <t>Bienes Intangibles (Licencias)</t>
  </si>
  <si>
    <t>TOTAL BIENES DURADEROS</t>
  </si>
  <si>
    <t xml:space="preserve">TRANSFERENCIAS </t>
  </si>
  <si>
    <t>Transferencias Corrientes a C.C.S.S (Seguro Pensiones)</t>
  </si>
  <si>
    <t>Transferencias Corrientes a C.C.S.S (Seguro Salud)</t>
  </si>
  <si>
    <t>Transferencias Corrientes a U.C.R</t>
  </si>
  <si>
    <t>Transferencias Corrientes a CONARE</t>
  </si>
  <si>
    <t>Becas a terceras personas</t>
  </si>
  <si>
    <t xml:space="preserve">Prestaciones Legales </t>
  </si>
  <si>
    <t>Otras prestaciones a personas (Incapacidades)</t>
  </si>
  <si>
    <t>Indemnizaciones</t>
  </si>
  <si>
    <t>TOTAL TRANSFERENCIAS</t>
  </si>
  <si>
    <t>EJECUCIÓN GLOBAL</t>
  </si>
  <si>
    <t xml:space="preserve">  </t>
  </si>
  <si>
    <t>Herramientas e instrumentos</t>
  </si>
  <si>
    <t>Equipo diverso</t>
  </si>
  <si>
    <t>Publicidad y Propaganda</t>
  </si>
  <si>
    <t>Utiles y Materiales de Resguardo y Seguridad</t>
  </si>
  <si>
    <t>PRESUPUESTO ACTUAL</t>
  </si>
  <si>
    <t>Multas</t>
  </si>
  <si>
    <t>Servicios de Ingenieria</t>
  </si>
  <si>
    <t>TRANSF. CORRIENTES A ORG. INT.</t>
  </si>
  <si>
    <t>PRESUPUESTO REAL</t>
  </si>
  <si>
    <t>Edificios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</si>
  <si>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</si>
  <si>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</si>
  <si>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</si>
  <si>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</si>
  <si>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</si>
  <si>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</si>
  <si>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</si>
  <si>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</si>
  <si>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</si>
  <si>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</si>
  <si>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</si>
  <si>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</si>
  <si>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</t>
  </si>
  <si>
    <t>REMUNERACIONES</t>
  </si>
  <si>
    <t>001</t>
  </si>
  <si>
    <t xml:space="preserve">REMUNERACIONES BASICAS </t>
  </si>
  <si>
    <t>SUELDOS PARA CARGOS FIJOS</t>
  </si>
  <si>
    <t>SERVICIOS ESPECIALES</t>
  </si>
  <si>
    <t>SUPLENCIAS</t>
  </si>
  <si>
    <t>002</t>
  </si>
  <si>
    <t>REMUNERACIONES EVENTUALES</t>
  </si>
  <si>
    <t>TIEMPO EXTRAORDINARIO</t>
  </si>
  <si>
    <t>RECARGO DE FUNCIONES</t>
  </si>
  <si>
    <t>DISPONIBILIDAD LABORAL</t>
  </si>
  <si>
    <t>003</t>
  </si>
  <si>
    <t>INCENTIVOS SALARIALES</t>
  </si>
  <si>
    <t>RETRIBUCION POR AÑOS SERVIDOS</t>
  </si>
  <si>
    <t>RESTRICCION AL EJERCICIO LIBERAL  DE L A PROFESION</t>
  </si>
  <si>
    <t>DECIMO TERCER MES</t>
  </si>
  <si>
    <t>SALARIO ESCOLAR</t>
  </si>
  <si>
    <t>OTROS INCENTIVOS SALARIALES</t>
  </si>
  <si>
    <t>004</t>
  </si>
  <si>
    <t>CONTRIBUCIONES PATRONALES AL DESARROLLO Y LA SEGURIDAD SOCIAL</t>
  </si>
  <si>
    <t>CONTRIBUCION PATRONAL AL SEGURO DE SALUD DE LA C.C.S.S. 9.25%</t>
  </si>
  <si>
    <t>CONTRIBUCION PATRONAL AL INST. MIXTO DE AYUDA SOCIAL</t>
  </si>
  <si>
    <t>CONTRIBUCION PATRONAL AL BANCO POPULAR Y DE DESARROLLO COMUNAL .05%</t>
  </si>
  <si>
    <t>005</t>
  </si>
  <si>
    <t>CONTRIBUCION PATRON. FOND. DE PENSIONES Y OTROS FONDOS DE CAPITAL</t>
  </si>
  <si>
    <t>APORTE PATR. REGIMEN OBLIG. DE PENSIONES COMPLEMENTARIAS 1.5%</t>
  </si>
  <si>
    <t>APORTE PATRONAL DE FONDO DE CAPITALIZACION LABORAL 3%</t>
  </si>
  <si>
    <t>099</t>
  </si>
  <si>
    <t>REMUNERACIONES DIVERSAS</t>
  </si>
  <si>
    <t>GASTOS DE REPRESENTACION PERSONAL</t>
  </si>
  <si>
    <t>01</t>
  </si>
  <si>
    <t xml:space="preserve">SERVICIOS                </t>
  </si>
  <si>
    <t>ALQUILERES</t>
  </si>
  <si>
    <t>ALQUILERES DE EDIFICIOS, LOCALES, Y TERRENOS</t>
  </si>
  <si>
    <t>ALQUILERES DE MAQUINARIA, EQUIPO Y MOBILIARIO</t>
  </si>
  <si>
    <t>ALQUILER DE EQUIPO DE COMPUTO</t>
  </si>
  <si>
    <t>ALQUILER Y DERECHOS PARA TELECOMUNICACIONES</t>
  </si>
  <si>
    <t>OTROS ALQUILERES</t>
  </si>
  <si>
    <t>SERVICIOS BASICOS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</si>
  <si>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</si>
  <si>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</si>
  <si>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</si>
  <si>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</si>
  <si>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</si>
  <si>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SERVICIOS COMERCIALES Y FINANCIEROS</t>
  </si>
  <si>
    <t>INFORMACION</t>
  </si>
  <si>
    <t>PUBLICIDAD Y PROPAGANDA</t>
  </si>
  <si>
    <t>IMPRESIÓN, ENCUADERNACION, Y OTROS</t>
  </si>
  <si>
    <t>TRANSPORTE DE BIENES</t>
  </si>
  <si>
    <t>COMISIONES Y GASTOS POR SERVICIOS</t>
  </si>
  <si>
    <t>SERVICIO DE TRANSFERENCIA ELECTRONICA DE INFORMACION</t>
  </si>
  <si>
    <t>SERVICIO DE GESTION Y APOYO</t>
  </si>
  <si>
    <t>SERVICIOS MEDICOS Y DE LABORATORIO</t>
  </si>
  <si>
    <t>SERVICIOS JURIDICOS</t>
  </si>
  <si>
    <t>SERVICIOS DE INGENIERIA</t>
  </si>
  <si>
    <t>SERVICIOS EN CIENCIAS ECONOMICAS Y SOCIALES</t>
  </si>
  <si>
    <t>SERVICIOS DE DESARROLLO DE SISTEMAS INFORMATICOS</t>
  </si>
  <si>
    <t>SERVICIOS GENERALES</t>
  </si>
  <si>
    <t>OTROS SERVICIOS DE GESTION Y APOYO</t>
  </si>
  <si>
    <t>GASTO DE VIAJE Y DE TRANSPORTE</t>
  </si>
  <si>
    <t>TRANSPORTE DENTRO DEL PAIS</t>
  </si>
  <si>
    <t>VIATICOS DENTRO DEL PAIS</t>
  </si>
  <si>
    <t>TRANSPORTE EN EL EXTERIOR</t>
  </si>
  <si>
    <t>VIATICOS EN EL EXTERIOR</t>
  </si>
  <si>
    <t>SEGUROS, REASEGUROS Y OTRAS OBLIGACIONES</t>
  </si>
  <si>
    <t>SEGUROS</t>
  </si>
  <si>
    <t>CAPACITACION Y PROTOCOLO</t>
  </si>
  <si>
    <t>ACTIVIDADES DE CAPACITACION</t>
  </si>
  <si>
    <t>ACTIVIDADES PROTOCOLARIAS Y SOCIALES</t>
  </si>
  <si>
    <t>GASTOS DE REPRESENTACION INST.</t>
  </si>
  <si>
    <t>MANTENIMIENTO Y REPARACION</t>
  </si>
  <si>
    <t>MANTENIMIENTO DE EDIFICIOS Y LOCALES</t>
  </si>
  <si>
    <t>MANTENIMIENTO Y REPARACION DE MAQUINARIA Y EQUIPO DE PRODUCCION</t>
  </si>
  <si>
    <t>MANTENIMIENTO Y REPARACION DE EQUIPO DE TRANSPORTE</t>
  </si>
  <si>
    <t xml:space="preserve">MANTENIMIENTO Y REPARACION DE EQUIPO DE COMUNIICACION </t>
  </si>
  <si>
    <t>MANTENIMIENTO Y REPARACION DE EQUIPO Y MOBILIARIO DE OFICINA</t>
  </si>
  <si>
    <t>MANT. Y REP. DE EQUIPO DE COMPUTO Y SISTEMAS DE INFORMATICA</t>
  </si>
  <si>
    <t>MANTENIMIENTO Y REPARACION DE OTROS EQUIPOS</t>
  </si>
  <si>
    <t>IMPUESTOS</t>
  </si>
  <si>
    <t>OTROS IMPUESTOS</t>
  </si>
  <si>
    <t>SERVICIOS DIVERSOS</t>
  </si>
  <si>
    <t>DEDUCIBLES</t>
  </si>
  <si>
    <t>INTERESES MORATORIOS Y MULTAS</t>
  </si>
  <si>
    <t>OTROS SERVICIOS NO ESPECIFICADOS</t>
  </si>
  <si>
    <t>02</t>
  </si>
  <si>
    <t>MATERIALES Y SUMINISTROS</t>
  </si>
  <si>
    <t>PRODUCTOS QUIMICOS Y CONEXOS</t>
  </si>
  <si>
    <t>COMBUSTIBLES Y LUBRICANTES</t>
  </si>
  <si>
    <t>PRODUCTOS FARMACEUTICOS Y MEDICINALES</t>
  </si>
  <si>
    <t>TINTAS, PINTURAS Y DILUYENTES</t>
  </si>
  <si>
    <t>OTROS PRODUCTOS QUIMICOS</t>
  </si>
  <si>
    <t>ALIMENTOS Y PRODUCTOS AGROPECUARIOS</t>
  </si>
  <si>
    <t>PRODUCTOS PECUARIOS Y OTRAS ESPECIES</t>
  </si>
  <si>
    <t>PRODUCTOS AGROFORESTALES</t>
  </si>
  <si>
    <t>ALIMENTOS Y BEBIDAS</t>
  </si>
  <si>
    <t>MAT. Y PROD. DE USO EN LA CONSTRUCCION Y MANTENIMIENTO</t>
  </si>
  <si>
    <t>MATERIALES Y PRODUCTOS METALICOS</t>
  </si>
  <si>
    <t>MATRIALES Y PRODUCTOS MINERALES Y ASFALTICOS</t>
  </si>
  <si>
    <t>MADERA Y SUS DERIVADOS</t>
  </si>
  <si>
    <t>MATERIALES Y PRODUCTOS ELECTRICOS, TELEFONICOS DE COMPUTO</t>
  </si>
  <si>
    <t>MATERIALES Y PRODUCTOS DE VIDRIO</t>
  </si>
  <si>
    <t>MATERIALES Y PRODUCTOS DE PLASTICO</t>
  </si>
  <si>
    <t>OTROS MATERIALES Y PRODUCTOS DE USO EN CONSTRUCCION</t>
  </si>
  <si>
    <t>HERRAMIENTAS, REPUESTOS Y ACCESORIOS</t>
  </si>
  <si>
    <t>HERRAMIENTAS E INSTRUMENTOS</t>
  </si>
  <si>
    <t>REPUESTOS Y ACCESORIOS</t>
  </si>
  <si>
    <t>UTILES, MATERIALES Y SUMINISTROS DIVERSOS</t>
  </si>
  <si>
    <t>UTILES, MATERIALES DE OFICINA Y COMPUTO</t>
  </si>
  <si>
    <t>UTILES, MATERIALES MEDICO, HOSPITALARIO Y DE INVENTARIO</t>
  </si>
  <si>
    <t>PRODUCTOS DE PAPEL, CARTON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</si>
  <si>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</si>
  <si>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</si>
  <si>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</si>
  <si>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</si>
  <si>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UTILES, MATERIALES Y SUMINISTROS</t>
  </si>
  <si>
    <t>05</t>
  </si>
  <si>
    <t>BIENES DURADEROS</t>
  </si>
  <si>
    <t>MAQUINARIA, EQUIPO Y MOBILIARIO</t>
  </si>
  <si>
    <t>EQUIPO E TRANSPORTE</t>
  </si>
  <si>
    <t>EQUIPO DE COMUNICACIÓN</t>
  </si>
  <si>
    <t>EQUIPO Y MOBILIARIO DE OFICINA</t>
  </si>
  <si>
    <t>EQUIPOS Y PROGRAMAS DE COMPUTO</t>
  </si>
  <si>
    <t>EQUIPO SANITARIO, DE  LABATORIO E INVESTIG.</t>
  </si>
  <si>
    <t>EQUIPO Y MOBILIARIO EDUCACIONAL, DEP. Y RECREATIVO</t>
  </si>
  <si>
    <t>MAQUINARIA Y EQUIPO DIVERSO</t>
  </si>
  <si>
    <t>CONSTRUCCIONES, ADICIONES Y MEJORAS</t>
  </si>
  <si>
    <t>EDIFICIOS</t>
  </si>
  <si>
    <t xml:space="preserve">INSTALACIONES </t>
  </si>
  <si>
    <t>OTRAS CONSTRUCCIONES, ADICIONES Y MEJORAS</t>
  </si>
  <si>
    <t>BIENES DURADEROS DIVERSOS</t>
  </si>
  <si>
    <t>BIENES INTANGIBLES</t>
  </si>
  <si>
    <t>OTROS BIENES DURADEROS</t>
  </si>
  <si>
    <t>06</t>
  </si>
  <si>
    <t>TRANSFERENCIAS CORRIENTES</t>
  </si>
  <si>
    <t>TRANSFERENCIAS CORRIENTES AL SECTOR PUBLICO</t>
  </si>
  <si>
    <t>TRANSFERENCIAS CORRIENTES A INS. DESCEN</t>
  </si>
  <si>
    <t>TRANSFERENCIAS CORRIENTES A PERSONAS</t>
  </si>
  <si>
    <t>BECAS A FUNCIONARIOS</t>
  </si>
  <si>
    <t>BECAS A TERCERAS PERSONAS</t>
  </si>
  <si>
    <t>OTRAS TRANSFERENCIAS A PERSONAS</t>
  </si>
  <si>
    <t>PRESTACIONES</t>
  </si>
  <si>
    <t>PRESTACIONE LEGALES</t>
  </si>
  <si>
    <t>OTRAS PRESTACIONES A TERCERAS PERSONAS</t>
  </si>
  <si>
    <t>TRANSF.CORR. A ENTIDADES PRIV. SIN FINES DE LUCRO</t>
  </si>
  <si>
    <t>TRANSFERENCIAS CORRIENTES A FUNDACIONES</t>
  </si>
  <si>
    <t>OTRAS TRANSFERENCIAS CORRIENTES AL SECTOR PRIVADO</t>
  </si>
  <si>
    <t>INDEMNIZACIONES</t>
  </si>
  <si>
    <t>CONTRIB. PATR. AL SEGURO DE PENSIONES DE LA C.C.S.S. 5.08%</t>
  </si>
  <si>
    <t>CONTRIB. PATR. OTROS FDOS ADMINIST. POR ENTES PRIVADOS  ASOFUNDE 5%</t>
  </si>
  <si>
    <t>TRANSFERENCIAS CORRIENTES AL SECTOR EXTERNO</t>
  </si>
  <si>
    <t>TRANSF. CTES A ORGANISMOS INTERNACIONALES</t>
  </si>
  <si>
    <t>TOTAL PRESUPUESTO ORDINARIO  2017</t>
  </si>
  <si>
    <t>CARGOS POR MES PROGRAMA 808 DEFENSORIA DE LOS HABITANTES-2017</t>
  </si>
  <si>
    <t>Servicios Médicos y de Laboratorio</t>
  </si>
  <si>
    <t>INSTALACIONES</t>
  </si>
  <si>
    <t>DECRETO H-003</t>
  </si>
  <si>
    <t>Servcios en Ciencias Económicas y Sociales</t>
  </si>
  <si>
    <t xml:space="preserve"> -     </t>
  </si>
  <si>
    <t>DECRETO H-005</t>
  </si>
  <si>
    <t>DECRETO H-007                                        40714H</t>
  </si>
  <si>
    <t>AL 30 DE NOVIEMBRE DEL 2017</t>
  </si>
  <si>
    <t>DEFENSORIA DE LOS HABITANTES</t>
  </si>
  <si>
    <t>Informe de Gastos mes de noviembre 2017</t>
  </si>
  <si>
    <t>Presupuesto Ordinario</t>
  </si>
  <si>
    <t>TRANSF. BANCO 6101</t>
  </si>
  <si>
    <t>PRESUPUESTO ORDINARIO</t>
  </si>
  <si>
    <t xml:space="preserve">KAREN ROMÁN GUERRERO </t>
  </si>
  <si>
    <t>REINTEGRO FONDO DE CAJA CHICA PROVEEDURÍA NÚMERO 1233</t>
  </si>
  <si>
    <t>TRANSF. BANCO 23274557</t>
  </si>
  <si>
    <t>MARVIN ALPIZAR BLANCO</t>
  </si>
  <si>
    <t>Transf.SRCH-1234-17 CChica-Liberia(1460)</t>
  </si>
  <si>
    <t>TRANSF. BANCO 23274861</t>
  </si>
  <si>
    <t>ROBERTO DE PRADO LIZANA</t>
  </si>
  <si>
    <t>Transf. SRB-1228-17 CajaChica-P.Z.(1461)</t>
  </si>
  <si>
    <t>TRANSF. BANCO 23275159</t>
  </si>
  <si>
    <t>VICTOR ROJAS GONZALEZ</t>
  </si>
  <si>
    <t>Transf. SRA-1226y1232 CChica-Limón(1462)</t>
  </si>
  <si>
    <t>TRANSF. BANCO 6102</t>
  </si>
  <si>
    <t xml:space="preserve">JUANITA LEE CERDAS </t>
  </si>
  <si>
    <t>REINTEGRO FONDO DE CAJA CHICA TESORERÍA NÚMERO 1236</t>
  </si>
  <si>
    <t>TRANSF. BANCO 23675992</t>
  </si>
  <si>
    <t xml:space="preserve">Alejandra Vega Hidalgo </t>
  </si>
  <si>
    <t>ADELANTO GIRA A GUANACASTE, REALIZAR ENTREVISTAS EN 7 PROYECTOS DE VIVIENDA</t>
  </si>
  <si>
    <t>TRANSF. BANCO 23676194</t>
  </si>
  <si>
    <t>Ma.del Milagro Mora Guzmán</t>
  </si>
  <si>
    <t>TRANSF. BANCO 23677329</t>
  </si>
  <si>
    <t>VIVIAN MEDINA J</t>
  </si>
  <si>
    <t>Transf. SRHN-1235-17 C.Ch.-SCarlos(1466)</t>
  </si>
  <si>
    <t>TRANSF. BANCO 23682124</t>
  </si>
  <si>
    <t xml:space="preserve">Luis Gmo. Quesada García </t>
  </si>
  <si>
    <t>ADELANTO GIRA A GUANACASTE TRASLADO MILAGRO MORA Y ALEJANDRA VEGA</t>
  </si>
  <si>
    <t>TRANSF. BANCO 23676524</t>
  </si>
  <si>
    <t xml:space="preserve">Marvin Fernández Ramírez </t>
  </si>
  <si>
    <t>TRANSF. BANCO 23956908</t>
  </si>
  <si>
    <t xml:space="preserve">Hannia Silesky Jiménez </t>
  </si>
  <si>
    <t>ADELANDO GIRA A CIUDAD NEILLY, AGENDA INSTITUCIONAL AFRODESCENDIENTES, TALLERES MEP, RED INTERCULTURALIDAD</t>
  </si>
  <si>
    <t>TRANSF. BANCO 23957409</t>
  </si>
  <si>
    <t xml:space="preserve">Rebeca Gallardo Barquero </t>
  </si>
  <si>
    <t>TRANSF. BANCO 23956514</t>
  </si>
  <si>
    <t>ADELANTO GIRA A CIUDAD NEILLY, TRASLADO A HANNIA SILESKY Y REBECA GALLARDO</t>
  </si>
  <si>
    <t>TRANSF. BANCO 6103</t>
  </si>
  <si>
    <t>REINTEGRO FONDO DE CAJA CHICA PROVEEDURÍA NÚMERO 1238</t>
  </si>
  <si>
    <t>TRANSF. BANCO 6104</t>
  </si>
  <si>
    <t>REINTEGRO FONDO DE CAJA CHICA TESORERÍA NÚMERO 1239</t>
  </si>
  <si>
    <t>TRANSF. BANCO 24078105</t>
  </si>
  <si>
    <t xml:space="preserve">Yancy Mora González </t>
  </si>
  <si>
    <t>ADELANTO GIRA A SAN JOSÉ, SECIÓN DE TRABAJO ENCERRONA PROYECTO MODELO DE REGIONALIZACIÓN</t>
  </si>
  <si>
    <t>TRANSF. BANCO 24078722</t>
  </si>
  <si>
    <t xml:space="preserve">Kenneth Agüero Santos </t>
  </si>
  <si>
    <t>TRANSF. BANCO 24079149</t>
  </si>
  <si>
    <t xml:space="preserve">José Pablo Rodríguez Alpízar </t>
  </si>
  <si>
    <t>ADELANTO GIRA A CORREDORES, REUNIÓN INTERINTITUCIONAL SEGUIMIENTO CASO ALTO COMTE</t>
  </si>
  <si>
    <t>TRANSF. BANCO 24079661</t>
  </si>
  <si>
    <t xml:space="preserve">José Ml.Vásquez Hernández </t>
  </si>
  <si>
    <t>ADELANTO GIRA A CORREDORES, TRASLADO SEÑOR JOSE PABLO RODRIGUEZ A.</t>
  </si>
  <si>
    <t>TRANSF. BANCO 24080430</t>
  </si>
  <si>
    <t xml:space="preserve">Ana Lorena Montero Badilla </t>
  </si>
  <si>
    <t>ADELANTO GIRA A SANTA CRUZ, EXPOSICION DE FOTOGRAFIOAS, CHARLAS CENTROS DE EDUCACIÓN</t>
  </si>
  <si>
    <t>TRANSF. BANCO 24080008</t>
  </si>
  <si>
    <t xml:space="preserve">Jacqueline Romero Solano </t>
  </si>
  <si>
    <t>TRANSF. BANCO 1604790</t>
  </si>
  <si>
    <t>BANCO NACIONAL DE COSTA RICA</t>
  </si>
  <si>
    <t>Recarga Automática Tarjeta Quick Pass</t>
  </si>
  <si>
    <t>TRANSF. BANCO 24209983</t>
  </si>
  <si>
    <t xml:space="preserve">Vivian Medina Jiménez </t>
  </si>
  <si>
    <t>TRANSF. BANCO 6105</t>
  </si>
  <si>
    <t xml:space="preserve">LORELLY ARCE BADILLA </t>
  </si>
  <si>
    <t>ADELANTO GIRA A LIBERIA GUANACASTE, ASISTIR A LA PRESENTACIÓN FINAL SOBRE CONTAMINACION DE AGUA CON ARSÉNICO</t>
  </si>
  <si>
    <t>TRANSF. BANCO 24489670</t>
  </si>
  <si>
    <t>Jerhyn Varela Vargas</t>
  </si>
  <si>
    <t>ADELANTO GIRA A SAN JOSÉ, TALLER SOBRE LISTAS DE ESPERA, ENFOQUE DERECHOS HUMANOS</t>
  </si>
  <si>
    <t>TRANSF. BANCO 6106</t>
  </si>
  <si>
    <t xml:space="preserve">ROSSANA NASSAR ORUÉ </t>
  </si>
  <si>
    <t>TRANSF. BANCO 24584118</t>
  </si>
  <si>
    <t>NAZARET CORREA RODRIGUEZ</t>
  </si>
  <si>
    <t>REINTEGRO CAJA CHICA SRPC-1237-2017</t>
  </si>
  <si>
    <t>TRANSF. BANCO 24584345</t>
  </si>
  <si>
    <t>TRANSF. BANCO 24584590</t>
  </si>
  <si>
    <t xml:space="preserve">Ma. Eloísa Muñoz León </t>
  </si>
  <si>
    <t>TRANSF. BANCO 24584758</t>
  </si>
  <si>
    <t xml:space="preserve">Ahmed Tabash Blanco </t>
  </si>
  <si>
    <t>TRANSF. BANCO 24585065</t>
  </si>
  <si>
    <t xml:space="preserve">José Ml. Vásquez Hernández </t>
  </si>
  <si>
    <t>ADELANTO GIRA A LIBERIA GUANACASTE, TRASLADO SEÑORA DEFENSORA</t>
  </si>
  <si>
    <t>TRANSF. BANCO 24612519</t>
  </si>
  <si>
    <t xml:space="preserve">Montserrat Solano Carboni </t>
  </si>
  <si>
    <t>ADELANTO GIRA A LIBERIA GUANACASTE, PRESENTACION DEL INFORME FINAL SOBRE CONTAMINACION DE AGUA CON ARSÉNICO</t>
  </si>
  <si>
    <t>TRANSF. BANCO 24629149</t>
  </si>
  <si>
    <t>Julio Hernández Ramírez</t>
  </si>
  <si>
    <t xml:space="preserve">ADELANTO GIRA A LIBERIA GUANACASTE, TRASLADO A LORELLY ARCE, ROSSANNA NASAR Y ELOISA MUÑOZ </t>
  </si>
  <si>
    <t>TRANSF. BANCO 6107</t>
  </si>
  <si>
    <t xml:space="preserve">MARIO ZAMORA CORDERO </t>
  </si>
  <si>
    <t>TRANSF. BANCO 6108</t>
  </si>
  <si>
    <t>FRENGIE NARVAEZ CASCANTE</t>
  </si>
  <si>
    <t>ADELANTO GIRA A SAN JOSÉ CAPACITACION ESCUELA JUDICIAL SOBRE REFORMA PROCESAL LABORAL</t>
  </si>
  <si>
    <t>TRANSF. BANCO 24794253</t>
  </si>
  <si>
    <t xml:space="preserve">Julio Hernández Ramírez </t>
  </si>
  <si>
    <t>ADELANTO GIRA A PUERTO VIEJO LIMÓN, TRASLADO FUNCIONARIAS DE PROMOCIÓN Y DIVULGACIÓN, HANNIA SILESKY, REBECA GALLARDO Y ZAIDA QUESADA</t>
  </si>
  <si>
    <t>TRANSF. BANCO 24794538</t>
  </si>
  <si>
    <t>ADELANTO GIRA A PUERTO VIEJO LIMÓN, ORGANIZACIÓN Y CONVOCATORIA ACTIVIDAD CONMEMORACIÒN 10 DE DICIEMBRE EN LIMÓN TALAMANCA</t>
  </si>
  <si>
    <t>TRANSF. BANCO 24794728</t>
  </si>
  <si>
    <t>TRANSF. BANCO 24795100</t>
  </si>
  <si>
    <t>Zaida Quesada Barrantes</t>
  </si>
  <si>
    <t>ADELANTO GIRA A LIMÓN, APOYAR ATENCIÓN DE PÚBLICO EN LA SEDE REGIONAL ATLÁNTICA</t>
  </si>
  <si>
    <t>TRANSF. BANCO 24795707</t>
  </si>
  <si>
    <t>TRANSF. BANCO 24795907</t>
  </si>
  <si>
    <t xml:space="preserve">Juan José Arroyo Sánchez </t>
  </si>
  <si>
    <t>TRANSF. BANCO 24803048</t>
  </si>
  <si>
    <t>Alina Paniagua Rojas</t>
  </si>
  <si>
    <t>TRANSF. BANCO 24803291</t>
  </si>
  <si>
    <t xml:space="preserve">Leonel Elizondo Santamaría </t>
  </si>
  <si>
    <t>TRANSF. BANCO 6109</t>
  </si>
  <si>
    <t>REINTEGRO FONDO DE CAJA CHICA TESORERÍA NÚMERO 1240</t>
  </si>
  <si>
    <t>SPMPO-105-2017 CTA #TRANF.CTES</t>
  </si>
  <si>
    <t>GESARELLA PATRICIA RAMIREZ BRICEÑO</t>
  </si>
  <si>
    <t>Defensoría Habitantes, SPMPO N°105,  Ayuda Económica Estudiantes Colegios Técnicos Profesionales 09-31/10/2017   Reserva 100126   Reg.103-808-60202 (Acuerdo 1736 11/12/12)</t>
  </si>
  <si>
    <t>SPMPO-106-2017 CTA #TRANF.CTES</t>
  </si>
  <si>
    <t>CUATRO EN LINEA AUTOMOTRIZ S. A.</t>
  </si>
  <si>
    <t>Defensoría Habitantes, SPMPO N°106, MERLINK Mant.Prev.Veh.Placa821892  Contrato041115/SP.200197  Reg.103-808-10805 ¢185,690 (¢3,713.80)</t>
  </si>
  <si>
    <t>Defensoría Habitantes, SPMPO N°106, MERLINK Mant.Prev.Veh.Placa DH-37  Contrato041115/SP.200197  Reg.103-808-10805 ¢360,270 (¢7,205.40)</t>
  </si>
  <si>
    <t>Defensoría Habitantes, SPMPO N°106, MERLINK Mant.Prev.Veh.Placa DH-25  Contrato041115/SP.200197  Reg.103-808-10805 ¢255,060 (¢5,101.20)</t>
  </si>
  <si>
    <t>Defensoría Habitantes, SPMPO N°106, MERLINK Mant.Prev.Veh.Placa DH-30  Contrato041115/SP.200197  Reg.103-808-10805 ¢208,590 (¢4,171.80)</t>
  </si>
  <si>
    <t>Defensoría Habitantes, SPMPO N°106, MERLINK Mant.Prev.Veh.Placa DH-16  Contrato043003/SP.200024  Reg.103-808-10805 ¢23,500 (¢470)</t>
  </si>
  <si>
    <t>Defensoría Habitantes, SPMPO N°106, MERLINK Mant.Prev.Veh.Placa DH-16  Contrato041115/SP.200197  Reg.103-808-10805 ¢242,240 (¢4,844.80)</t>
  </si>
  <si>
    <t>PROPAK DE COSTA RICA S A</t>
  </si>
  <si>
    <t>Defensoría Habitantes, SPMPO N°106, MERLINK 50-Llave Maya USB 8GB Propak  Contrato043121/SP.200203  Reg.103-808-29901</t>
  </si>
  <si>
    <t>ARRENDADORA COMERCIAL R &amp; H S A</t>
  </si>
  <si>
    <t>Defensoría Habitantes, SPMPO N°106, MERLINK Mant.yRep.Escáner Kodak Alaris, Mod.i2800, Activo 4952  Contrato043077/SP.200139  Reg.103-808-10808</t>
  </si>
  <si>
    <t>FRANKLIN ZU\IGA JIMENEZ</t>
  </si>
  <si>
    <t>Defensoría Habitantes, SPMPO N°106, 6-Esculturas "Naturaleza Herida"  Fact.Gob.636-17  OP.17127/SP.200118  Reg.103-808-10702 ¢570,000 (2%Ret.¢11,400)</t>
  </si>
  <si>
    <t>YURLANDY HIDALGO ARCE</t>
  </si>
  <si>
    <t>Defensoría Habitantes, SPMPO N°106, Serv.Interpretación Lesco 25/10/17 Capacitación Charla Plan de Prejubilación  Fact.Gob.666-17  OP.17081/SP.200108  Reg.103-808-10499</t>
  </si>
  <si>
    <t>INSTITUTO COSTARRICENSE DE ELECTRICIDAD</t>
  </si>
  <si>
    <t>Defensoría Habitantes, SPMPO N°106, Serv.Tels SET-17  Fact.Gob.668-17  OP.17137/SP.200222  Reg.103-808-10204 ¢2,853,026 (2%Ret.¢57,060.52)</t>
  </si>
  <si>
    <t>Defensoría Habitantes, SPMPO N°106, Serv.Tels SET-17  Fact.Gob.669-17  OP.17137/SP.200222  Reg.103-808-10204 ¢290,375 (2%Ret.¢5,807.50)</t>
  </si>
  <si>
    <t>Defensoría Habitantes, SPMPO N°106, Serv.Tels SET-17  Fact.Gob.670-17  OP.17137/SP.200222  Reg.103-808-10204 ¢194,815 (2%Ret.¢3,896.30)</t>
  </si>
  <si>
    <t>DOCUMENT MANAGEMENT SOLUTION DMS SOCIEDAD DE RESPO</t>
  </si>
  <si>
    <t>Defensoría Habitantes, SPMPO Nº106, Serv.Custodia y Adm.Documentos Oct-17  Fact.Gob.623-17  OP.17111/SP.200151  Reg.103-808-10406 ¢424,235.72 (2%Ret.¢8,484.71)</t>
  </si>
  <si>
    <t>SPMPO-107-2017 CTA #TRANF.CTES</t>
  </si>
  <si>
    <t>Defensoría Habitantes, SPMPO N°107, Serv.Interpretación Lesco 20/10/17 Premiación y Clausura Edición 2017 Premio Aportes...  Fact.Gob.667-17  OP.17154/SP.200227  Reg.103-808-10702</t>
  </si>
  <si>
    <t>CORREOS DE COSTA RICA S A</t>
  </si>
  <si>
    <t>Defensoría Habitantes, SPMPO Nº107, Serv.Correspondencia y Fax SET-17  Fact.Gob.619-17  OP.17101/SP.200146  Reg.103-808-10203 ¢878,170 (2%Ret.¢17,563.40)</t>
  </si>
  <si>
    <t>FUNDACION DE LA UNIVERSIDAD DE COSTA RICA PARA LA</t>
  </si>
  <si>
    <t>Defensoría Habitantes, SPMPO Nº107, Curso-Taller "Mesoamericano Vías Amigables con la Vida Silvestre" 26,27,28-Oct Aud.Lanamme UCR, Particip.Pablo Fernández Aguilar  Fact.Gob.675-17  OP.17156/SP.200230  Reg.103-808-10701</t>
  </si>
  <si>
    <t>Defensoría Habitantes, SPMPO N°107, MERLINK Mant.Prev.Veh.Placa821892  Contrato043003/SP.200024  Reg.103-808-10805 ¢32,595 (2%Ret.¢651.90)</t>
  </si>
  <si>
    <t>Defensoría Habitantes, SPMPO N°107, MERLINK Mant.Prev.Veh.Placa DH-34  Contrato043003/SP.200024  Reg.103-808-10805 ¢34,610 (2%Ret.¢692.20)</t>
  </si>
  <si>
    <t>SISTEMAS DE COMPUTACION CONZULTEK DE CENTROAMERICA</t>
  </si>
  <si>
    <t>Defensoría Habitantes, SPMPO N°107, MERLINK 27-Licencia Microsoft OfficeStd 2016 OLP NL Gov  Contrato043117SP.200176  Reg.103-808-59903 ¢3,820,164.06 (2%Ret.¢76,403.28) ($6,682.23 TC=¢571.69)</t>
  </si>
  <si>
    <t>SANTA BARBARA TECHNOLOGY SOCIEDAD ANONIMA</t>
  </si>
  <si>
    <t>Defensoría Habitantes, SPMPO N°107, MERLINK Serv.Técnico de Mant.Impr.Laser Canon IR2520, Activo 4495  Contrato043004/SP.200039  Reg.103-808-10808</t>
  </si>
  <si>
    <t>Defensoría Habitantes, SPMPO N°107, MERLINK Serv.Técnico de Mant.Impr.Laser Canon IR2520, Activo 4497  Contrato043004/SP.200039  Reg.103-808-10808</t>
  </si>
  <si>
    <t>HOSPITALIDAD COSTA INVERSIONES HCI S A</t>
  </si>
  <si>
    <t>Defensoría Habitantes, SPMPO N°107, MERLINK 2-Serv.Hosp.Tryp San José 28,29/09/17 Contrato043103/SP.200192  Reg.103-808-10701 ($158 TC=¢572.36+¢5)</t>
  </si>
  <si>
    <t>Defensoría Habitantes, SPMPO N°107, MERLINK 2-Serv.Restaurant Tryp San José 28,29/09/17 Contrato043103/SP.200192  Reg.103-808-10701 ($33.47 TC=¢572.36-¢5)</t>
  </si>
  <si>
    <t>SPMPO-108-2017 CTA #TRANF.CTES</t>
  </si>
  <si>
    <t>YERLANY GONZALEZ CRUZ</t>
  </si>
  <si>
    <t>Defensoría Habitantes, SPMPO N°108,  Ayuda Económica Estudiantes Colegios Técnicos Profesionales 09-31/10/2017   Reserva 100126   Reg.103-808-60202 (Acuerdo 1736 11/12/12)</t>
  </si>
  <si>
    <t>ALEXANDER ANTONIO CHACON VALVERDE</t>
  </si>
  <si>
    <t>Defensoría Habitantes, SPMPO N°108, VIÁTICOS Pago Taxis: Sabanilla-Aeropto.Alajuela y Aeropto.Alajuela-Sabanilla, Acuerdo 2103  Res.100099  Reg.103-808-10501</t>
  </si>
  <si>
    <t>Defensoría Habitantes, SPMPO N°108, VIÁTICOS Pago Gira Sixaola, Talamanca 19/10/17  Res.100108  Reg.103-808-10502</t>
  </si>
  <si>
    <t>JUAN JOSE ARROYO SANCHEZ</t>
  </si>
  <si>
    <t>Defensoría Habitantes, SPMPO N°108, VIÁTICOS Pago Gira Jacó, Garabito 26/10/17  Res.100108  Reg.103-808-10502</t>
  </si>
  <si>
    <t>OSCAR SEGURA ALTAMIRA</t>
  </si>
  <si>
    <t>Defensoría Habitantes, SPMPO N°108, MERLINK 20-Habladores Acrílicos Contrato043116/SP.200199  Reg.103-808-29999</t>
  </si>
  <si>
    <t>PIZARRAS TAURO S. A.</t>
  </si>
  <si>
    <t>Defensoría Habitantes, SPMPO N°108, MERLINK 15-Caballete Madera Sólida 1.75cm x 50cm Contrato043065/SP.200020  Reg.103-808-20401 ¢585,000 (2%Ret.¢11,700)</t>
  </si>
  <si>
    <t>COMERCIALIZADORA A T DEL SUR S A</t>
  </si>
  <si>
    <t>Defensoría Habitantes, SPMPO N°108, MERLINK 3000-PlatoDesechableCartón Nº7, 5000-VasoDesechablePlástico(3000-Nº7y2000-Nº9) y 48-VasoVidrioTransp.  Contrato043095/SP.200116   Reg.103-808-29907 (Fact.¢164,060-16d.Multa ¢26,249)</t>
  </si>
  <si>
    <t>SPMPO-109-2017 CTA #TRANF.CTES</t>
  </si>
  <si>
    <t>MINISTERIO DE HACIENDA</t>
  </si>
  <si>
    <t>Defensoría Habitantes, SPMPO Nº109, Pago Retención 2% Impto. s/Renta OCT-17 (Vence 15-Nov-17)</t>
  </si>
  <si>
    <t>SPMPO-110-2017 CTA #TRANF.CTES</t>
  </si>
  <si>
    <t>PORTONES RUSTICOS MARIO FLORES SOCIEDAD ANONIMA</t>
  </si>
  <si>
    <t>Defensoría Habitantes, SPMPO N°110, MERLINK Serv.Mant.Correctivo Portones Acceso Vehicular  Contrato043104/SP.200151  Reg.103-808-10801 ¢2,125,000 (2%Ret.¢42,500)</t>
  </si>
  <si>
    <t>CAISA INC DE COSTA RICA S. A.</t>
  </si>
  <si>
    <t>Defensoría Habitantes, SPMPO N°110, MERLINK 650-Papel Hig. Jumbo Roll Scott  Contrato043053/SP.200096  Reg.103-808-29903 ¢939,900 (2%Ret.¢18,798)</t>
  </si>
  <si>
    <t>CALLMYWAY N Y SOCIEDAD ANONIMA</t>
  </si>
  <si>
    <t>Defensoría Habitantes, SPMPO N°110, MERLINK Serv.Hosp.Telefonía IP Hospedado en la Nube (Alq) OCT-17  OP.17138/SP.200222  Reg.103-808-10204 ¢500,000 (2%Ret.¢10,000)</t>
  </si>
  <si>
    <t>Defensoría Habitantes, SPMPO N°110, MERLINK Serv.Hosp.Telefonía IP Hospedado en la Nube (Tel) OCT-17  OP.17138/SP.200222  Reg.103-808-10204 ¢217,934.37 (2%Ret.¢4,358.68)</t>
  </si>
  <si>
    <t>CONTROLES VIDEO TECNICOS DE COSTA RICA S A</t>
  </si>
  <si>
    <t>Defensoría Habitantes, SPMPO Nº110, MERLINK Serv.Monitoreo Noticias SET-17  OP.17112/SP.200152  Reg.103-808-10499</t>
  </si>
  <si>
    <t>SISTEMA DE PROTECCION Y TRANSMISION ELECTRICA PROT</t>
  </si>
  <si>
    <t>Defensoría Habitantes, SPMPO N°110, MERLINK Cables de Cobre Conducen THHN #12 y #10   Contrato043120/SP.200198  Reg.103-808-20304 ¢579,420 (2%Ret.¢11,588.40)</t>
  </si>
  <si>
    <t>FRAMA SOLUCIONES S A</t>
  </si>
  <si>
    <t>Defensoría Habitantes, SPMPO N°110, MERLINK 5-Digitalizador de Imágenes (Escáner) Epson Mod.DS770, Activos5916-5920  Contrato043111/SP.200178  Reg.103-808-50105 ¢1,546,182 (2%Ret.¢30,923.64) ($2,700 x ¢572.66)</t>
  </si>
  <si>
    <t>MEI R L J LIBERIA SOCIEDAD ANONIMA</t>
  </si>
  <si>
    <t>Defensoría Habitantes, SPMPO N°110, Alquiler Local Ofic.Reg.Liberia SET-17  Fact.Gob.671-17   OP.17094/SP.200144  Reg.103-808-10101 ¢703,975 (2%Ret.¢14,079.50)</t>
  </si>
  <si>
    <t>Defensoría Habitantes, SPMPO N°110, Alquiler Local Ofic.Reg.Liberia OCT-17  Fact.Gob.672-17   OP.17094/SP.200144 ¢264,225 y OP.17150/SP.200218 ¢439,750  Reg.103-808-10101 ¢703,975 (2%Ret.¢14,079.50)</t>
  </si>
  <si>
    <t>SOLUCIONES EN REPUESTOS S. A.</t>
  </si>
  <si>
    <t>Defensoría Habitantes, SPMPO N°110, Alquiler Estacionam. DH-26 Ofic.Reg.Liberia OCT-17  Fact.Gob.673-17  OP.17092/SP.200144 ¢34,279.80 y OP.17148/SP.200218 ¢37,730.40  Reg.103-808-10101</t>
  </si>
  <si>
    <t>CAROLINA CARAZO MOHS</t>
  </si>
  <si>
    <t>Defensoría Habitantes, SPMPO N°110, Alquiler Local Ofic.Reg.Limón OCT-17  Fact.Gob.674-17  OP.17147/SP.200218  Reg.103-808-10101 ¢700,000 (2%Ret.¢14,000)</t>
  </si>
  <si>
    <t>NAVEGACION SATELITAL DE COSTA RICA S. A.</t>
  </si>
  <si>
    <t>Defensoría Habitantes, SPMPO Nº110, Serv.Adm.Flotilla y Localizac.Satelital GPS 12Dispositivos Rastreo y AccesoWeb OCT-17  Fact.Gob.682-17  OP.17064/SP.200077 ¢97,001 y OP.17103/SP.200147 ¢76,111 Reg.103-808-10204 ¢173,112 (2%Ret.¢3,462.25)</t>
  </si>
  <si>
    <t>INSTITUTO NACIONAL DE SEGUROS</t>
  </si>
  <si>
    <t>Defensoría Habitantes, SPMPO Nº110, Variación Póliza Automóviles 01-17-AUM-56-30 18/10/17-28/01/18  Fact.Gob.688-17  OP.17161/SP.200252  Reg.103-808-10601 ¢341,030 (2%Ret.¢6,820.60)</t>
  </si>
  <si>
    <t>COMPA#IA NACIONAL DE FUERZA Y LUZ S A</t>
  </si>
  <si>
    <t>Defensoría Habitantes, SPMPO Nº110, Serv.Electricidad Ofic.Ctl.DHR NOV-17  Fact.Gob.687-17  OP.17100/SP.200145 ¢1,690,375 y OP.17144/SP.200220 ¢61,950  Reg.103-808-10202 ¢1,752,325 (2%Ret.¢35,046.50)  (Vence 20/11/17 NISE 497430)</t>
  </si>
  <si>
    <t>SPMPO-111-2017 CTA #TRANF.CTES</t>
  </si>
  <si>
    <t>Defensoría Habitantes, SPMPO N°111, MERLINK Serv.Mant.Correctivo Portones Acceso Vehicular  Contrato045009/SP.200155 ¢892,500 y Contrato045010/SP.200238 ¢76,500  Reg.103-808-10801 ¢950,000 (2%Ret.¢19,000)</t>
  </si>
  <si>
    <t>LASERART S. A.</t>
  </si>
  <si>
    <t>Defensoría Habitantes, SPMPO N°111, MERLINK 12-Portatítulo  Contrato043099/SP.200118  Reg.103-808-10702</t>
  </si>
  <si>
    <t>Defensoría Habitantes, SPMPO N°111, MERLINK Mant.Prev.Veh.Placa DH-25  Contrato045011/SP.200200  Reg.103-808-10805</t>
  </si>
  <si>
    <t>Defensoría Habitantes, SPMPO N°111, MERLINK Mant.Prev.Veh.Placa DH-37  Contrato045011/SP.200200  Reg.103-808-10805</t>
  </si>
  <si>
    <t>Defensoría Habitantes, SPMPO N°111, MERLINK Mant.Prev.Veh.Placa DH-16  Contrato045011/SP.200200  Reg.103-808-10805</t>
  </si>
  <si>
    <t>Defensoría Habitantes, SPMPO N°111, MERLINK Mant.Prev.Veh.Placa DH-30  Contrato045011/SP.200200  Reg.103-808-10805</t>
  </si>
  <si>
    <t>GRUPO LUMAFE S.R.L.</t>
  </si>
  <si>
    <t>Defensoría Habitantes, SPMPO N°111, MERLINK 30-Basurero Redondo Metálico 20 Lts  Contrato043125/SP.200208  Reg.103-808-29905</t>
  </si>
  <si>
    <t>SERVICIO DE MONITOREO ELECTRONICO ALFA SOCIEDAD AN</t>
  </si>
  <si>
    <t>Defensoría Habitantes, SPMPO N°111, MERLINK Serv.Monitoreo Alarma y Resp.Armada Ofics.Regs. PZ, Ptnas, Limón y Liberia JUL-17  OP.17110/SP.200151  Reg.103-808-10406</t>
  </si>
  <si>
    <t>Defensoría Habitantes, SPMPO N°111, MERLINK Serv.Monitoreo Alarma y Resp.Armada Ofics.Reg. SanCarlos JUL-17  OP.17110/SP.200151  Reg.103-808-10406</t>
  </si>
  <si>
    <t>Defensoría Habitantes, SPMPO N°111, MERLINK Serv.Monitoreo Alarma y Resp.Armada Ofics.Reg. PZ, Ptnas, Limón y Liberia AGO-17  OP.17110/SP.200151 ¢77,543.44 y  OP.17134/SP.200224 ¢54,084.28  Reg.103-808-10406</t>
  </si>
  <si>
    <t>Defensoría Habitantes, SPMPO N°111, MERLINK Serv.Monitoreo Alarma y Resp.Armada Ofics.Reg. PZ, SanCarlos AGO-17  OP.17134/SP.200224  Reg.103-808-10406</t>
  </si>
  <si>
    <t>Defensoría Habitantes, SPMPO N°111, MERLINK Serv.Monitoreo Alarma y Resp.Armada Ofics.Regs. PZ, Ptnas, Limón y Liberia SET-17  OP.17134/SP.200224  Reg.103-808-10406</t>
  </si>
  <si>
    <t>Defensoría Habitantes, SPMPO N°111, MERLINK Serv.Monitoreo Alarma y Resp.Armada Ofics.Regs. SanCarlos SET-17  OP.17134/SP.200224  Reg.103-808-10406</t>
  </si>
  <si>
    <t>Defensoría Habitantes, SPMPO N°111, MERLINK Serv.Monitoreo Alarma y Resp.Armada Ofics.Regs. PZ, Ptnas, Limón y Liberia OCT-17  OP.17134/SP.200224  Reg.103-808-10406</t>
  </si>
  <si>
    <t>Defensoría Habitantes, SPMPO N°111, MERLINK Serv.Monitoreo Alarma y Resp.Armada Ofics.Regs. PZ, SanCarlos OCT-17  OP.17134/SP.200224  Reg.103-808-10406</t>
  </si>
  <si>
    <t>PRINTER DE COSTA RICA S. A.</t>
  </si>
  <si>
    <t>Defensoría Habitantes, SPMPO N°111, MERLINK 2-Impresora Multifuncional Konica, Activos 5914y5915  Contrato043106/SP.200178  Reg.103-808-50105 ¢1,464,115.20 (2%Ret.¢29,282.30)</t>
  </si>
  <si>
    <t>TECHNI SERVICIOS V &amp; M S. A.</t>
  </si>
  <si>
    <t>Defensoría Habitantes, SPMPO N°111, MERLINK Mant.Correctivo Generador Eléctrico Diesel GENERAL SD-180  OP.17076/SP.200069  Reg.103-808-10804</t>
  </si>
  <si>
    <t>FORMATO PLUS S. A.</t>
  </si>
  <si>
    <t>Defenssría Habitantes, SPMPO N°111, MERLINK Confección Rótulo Metálico Sedes Reg.: Cdad.Neilly, SanCarlos y Limón  Contrato043107/SP.200171  Reg.103-808-10301 ¢800,000 (2%Ret.¢16,000)</t>
  </si>
  <si>
    <t>MUNICIPALIDAD DE SAN CARLOS</t>
  </si>
  <si>
    <t>Defensoría Habitantes, SPMPO N°111, Serv.AguaMedida, Recolecc.Basura OCT-17   Fact.Gob.679-17  OP.17105/SP.200148   Reg.103-808-10299</t>
  </si>
  <si>
    <t>UNION DE TRABAJADORES AGROINDUSTRIALES DEL CANTON</t>
  </si>
  <si>
    <t>Defensoría Habitantes, SPMPO N°111, Alquiler Local Ofic.Reg.P.Z. OCT-17  Fact.Gob.681-17   OP.17096/SP.200144 ¢171,423 y OP.17152/SP.200218 ¢309,530  Reg.103-808-10101 ¢480,953 (2%Ret.¢9,619.05)</t>
  </si>
  <si>
    <t>GRUPO EMPRESARIAL OROSOL S. A.</t>
  </si>
  <si>
    <t>Defensoría Habitantes, SPMPO N°111, Serv.Parqueo DH-29 de Sede Reg.Limón 15/09/17-15/10/17  Fact.Gob.683-17  OP.17153/SP.200218  Reg.103-808-10101</t>
  </si>
  <si>
    <t>ERICK ALFARO ZU\IGA</t>
  </si>
  <si>
    <t>Defensoría Habitantes, SPMPO N°111, Alquiler Local Ofic.Reg.Cdad.Neilly 28/09/17-28/10/17  Fact.Gob.684-17  OP.17149/SP.200218  Reg.103-808-10101 ¢633,138 (2%Ret.¢12,662.75)</t>
  </si>
  <si>
    <t>ASOCIACION UNIVERSIDAD PARA LA COOPERACION INTERNA</t>
  </si>
  <si>
    <t>Defensoría Habitantes, SPMPO N°111, Participación Virginia Marín Arias I-Módulo Prog.Actualización en Legislación Laboral  Fact.Gob.685-17  OP.17145/SP.200215  Reg.103-808-10701</t>
  </si>
  <si>
    <t>SOAGUI S A</t>
  </si>
  <si>
    <t>Defensoría Habitantes, SPMPO N°111, Alquiler Local Ofic.Reg.Ptnas 22/09/17-22/10/17  Fact.Gob.686-17  OP.17008/SP.200003 ¢23,000, OP.17095/SP.200144 ¢46,000 y OP.17151/SP.200218 ¢240,000  Reg.103-808-10101</t>
  </si>
  <si>
    <t>GERARDO ARAYA HERRERA</t>
  </si>
  <si>
    <t>Defensoría Habitantes, SPMPO N°111, Serv.Refrigerio  03/11/17, Cafetería del Teatro Nal. Reunión Intl. GANHRI  Fact.Gob.689-17  OP.17126/SP.200217  Reg.103-808-10702</t>
  </si>
  <si>
    <t>PURDY AUTO S A</t>
  </si>
  <si>
    <t>Defensoría Habitantes, SPMPO Nº111, Pago Deducible DH-34 INS 375170634  Fact.Gob.690-17  OP.17160/SP.200239  Reg.103-808-10905</t>
  </si>
  <si>
    <t>Defensoría Habitantes, SPMPO Nº111, Serv.Electricidad Ofic.Reg.Ptnas NOV-17  Fact.Gob.691-17  OP.17142/SP.200220  Reg.103-808-10202 (Vence 30/11/17  NISE 777444)</t>
  </si>
  <si>
    <t>Defensoría Habitantes, SPMPO Nº111, Serv.Electricidad Ofic.Reg.Limón NOV-17  Fact.Gob.692-17  OP.17142/SP.200220  Reg.103-808-10202 (Vence 30/11/17  NISE 286343)</t>
  </si>
  <si>
    <t>Defensoría Habitantes, SPMPO Nº111, Serv.Electricidad Ofic.Reg.Cdad.Neily NOV-17  Fact.Gob.693-17  OP.17142/SP.200220  Reg.103-808-10202 (Vence 30/11/17  NISE 773938)</t>
  </si>
  <si>
    <t>ALINA MARIA PANIAGUA ROJAS</t>
  </si>
  <si>
    <t>Defensoría Habitantes, SPMPO N°111, VIÁTICOS Pago Gira Guauso 07/11/17  Res.100108  Reg.103-808-10502</t>
  </si>
  <si>
    <t>WENDY VANESSA DURAN MORA</t>
  </si>
  <si>
    <t>Defensoría Habitantes, SPMPO N°111, VIÁTICOS Pago Gira Río Claro y Golfito 25,26/10/17  Res.100108  Reg.103-808-10502</t>
  </si>
  <si>
    <t>SPMPO-112-2017 CTA #TRANF.CTES</t>
  </si>
  <si>
    <t>CAJA COSTARRICENSE DEL SEGURO SOCIAL</t>
  </si>
  <si>
    <t>Defensoría Habitantes, SPMPO Nº112, Cont.Pat.Seg.Salud Enf.y Maternidad 9.25% Planilla Fija OCT-17  Fact.Gob.702-17  Res.100001  Reg.103-808-00401</t>
  </si>
  <si>
    <t>Defensoría Habitantes, SPMPO Nº112, Cont.Pat.Seg.Pensiones 5.08% Planilla Fija OCT-17  Fact.Gob.702-17  Res.100002  Reg.103-808-00501</t>
  </si>
  <si>
    <t>Defensoría Habitantes, SPMPO Nº112, Aporte Pat.Reg.Oblig.Pens.1.5% Planilla Fija OCT-17  Fact.Gob.703-17  Res.100004  Reg.103-808-00502</t>
  </si>
  <si>
    <t>Defensoría Habitantes, SPMPO Nº112, Aporte Pat.Banco Popular 0.50% Planilla Fija OCT-17  Fact.Gob.704-17  Res.100003  Reg.103-808-00405</t>
  </si>
  <si>
    <t>Defensoría Habitantes, SPMPO Nº112, Aporte Pat.Fdo.Cap.Laboral 3% Planilla Fija OCT-17  Fact.Gob.705-17  Res.100005  Reg.103-808-00503</t>
  </si>
  <si>
    <t>SPMPO-113-2017 CTA #TRANF.CTES</t>
  </si>
  <si>
    <t>HOLST VAN PATTEN S A</t>
  </si>
  <si>
    <t>Defensoría Habitantes, SPMPO N°113, MERLINK 4-Batería Recargable p/Radio Comunicación Portátil Yaesu  Contrato043128/SP.200235  Reg.103-808-20402</t>
  </si>
  <si>
    <t>Defensoría Habitantes, SPMPO N°113, MERLINK Mant.Preventivo Generador Eléctrico Diesel GENERAC SD-180  Contrato045005/SP.200186  Reg.103-808-10804</t>
  </si>
  <si>
    <t>MUNICIPALIDAD DEL CANTON CENTRAL DE SAN JOSE</t>
  </si>
  <si>
    <t>Defensoría Habitantes, SPMPO N°113, Serv.Urbanos IV-Trim-2017 y Ajuste  Fact.Gob.694-17  OP.17163/SP.200261  Reg.103-808-10299</t>
  </si>
  <si>
    <t>ASOCIACION SOLIDARISTA DE FUNCIONARIOS Y FUNCIONAR</t>
  </si>
  <si>
    <t>Defensoría Habitantes, SPMPO N°113, Pago 5% Aporte Patronal OCT-2017  Fact.Gob.695-17  Res.100009  Reg.103-808-00505</t>
  </si>
  <si>
    <t>Defensoría Habitantes, SPMPO Nº113, Serv.Correspondencia y Fax OCT-17  Fact.Gob.698-17  OP.17101/SP.200146  Reg.103-808-10203 ¢660,890 (2%Ret.¢13,217.80)</t>
  </si>
  <si>
    <t>COLEGIO DE ABOGADOS DE COSTA RICA</t>
  </si>
  <si>
    <t>Defensoría Habitantes, SPMPO N°113, Seminario "El Conflicto Derivado de la Atención en Salud: Vías para su Solución" Rossana Nassar Orué 08,09/11/17  Fact.Gob.700-17  OP.17162/SP.200253   Reg.103-808-10701 ($55 x ¢572.71)</t>
  </si>
  <si>
    <t>SPMPO-114-2017 CTA #TRANF.CTES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</si>
</sst>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_-* #,##0.00_-;\-* #,##0.00_-;_-* &quot;-&quot;??_-;_-@_-"/>
    <numFmt numFmtId="166" formatCode="0.00000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u val="single"/>
      <sz val="9"/>
      <name val="Arial"/>
      <family val="2"/>
    </font>
    <font>
      <b/>
      <i/>
      <u val="single"/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10" borderId="1" applyNumberFormat="0" applyAlignment="0" applyProtection="0"/>
    <xf numFmtId="0" fontId="3" fillId="19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" fillId="10" borderId="1" applyNumberFormat="0" applyAlignment="0" applyProtection="0"/>
    <xf numFmtId="0" fontId="7" fillId="13" borderId="1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9" fontId="0" fillId="0" borderId="0" applyFont="0" applyFill="0" applyBorder="0" applyAlignment="0" applyProtection="0"/>
    <xf numFmtId="0" fontId="10" fillId="10" borderId="5" applyNumberFormat="0" applyAlignment="0" applyProtection="0"/>
    <xf numFmtId="0" fontId="10" fillId="19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8" fillId="0" borderId="7" applyNumberFormat="0" applyFill="0" applyAlignment="0" applyProtection="0"/>
    <xf numFmtId="0" fontId="15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9" applyNumberFormat="0" applyFill="0" applyAlignment="0" applyProtection="0"/>
    <xf numFmtId="0" fontId="3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6" fillId="0" borderId="12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justify"/>
    </xf>
    <xf numFmtId="43" fontId="0" fillId="0" borderId="0" xfId="0" applyNumberFormat="1" applyAlignment="1">
      <alignment/>
    </xf>
    <xf numFmtId="43" fontId="0" fillId="0" borderId="0" xfId="77" applyFont="1" applyAlignment="1">
      <alignment/>
    </xf>
    <xf numFmtId="0" fontId="20" fillId="19" borderId="0" xfId="0" applyFont="1" applyFill="1" applyAlignment="1">
      <alignment/>
    </xf>
    <xf numFmtId="0" fontId="19" fillId="0" borderId="0" xfId="0" applyFont="1" applyAlignment="1">
      <alignment/>
    </xf>
    <xf numFmtId="4" fontId="21" fillId="0" borderId="0" xfId="0" applyNumberFormat="1" applyFont="1" applyAlignment="1">
      <alignment/>
    </xf>
    <xf numFmtId="0" fontId="22" fillId="19" borderId="0" xfId="0" applyFont="1" applyFill="1" applyAlignment="1">
      <alignment/>
    </xf>
    <xf numFmtId="0" fontId="21" fillId="0" borderId="0" xfId="0" applyFont="1" applyAlignment="1">
      <alignment/>
    </xf>
    <xf numFmtId="4" fontId="21" fillId="13" borderId="13" xfId="0" applyNumberFormat="1" applyFont="1" applyFill="1" applyBorder="1" applyAlignment="1">
      <alignment horizontal="center"/>
    </xf>
    <xf numFmtId="4" fontId="21" fillId="3" borderId="13" xfId="0" applyNumberFormat="1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center"/>
    </xf>
    <xf numFmtId="4" fontId="21" fillId="16" borderId="13" xfId="0" applyNumberFormat="1" applyFont="1" applyFill="1" applyBorder="1" applyAlignment="1">
      <alignment horizontal="center"/>
    </xf>
    <xf numFmtId="4" fontId="21" fillId="10" borderId="13" xfId="0" applyNumberFormat="1" applyFont="1" applyFill="1" applyBorder="1" applyAlignment="1">
      <alignment horizontal="center"/>
    </xf>
    <xf numFmtId="4" fontId="21" fillId="6" borderId="13" xfId="0" applyNumberFormat="1" applyFont="1" applyFill="1" applyBorder="1" applyAlignment="1">
      <alignment horizontal="center"/>
    </xf>
    <xf numFmtId="4" fontId="21" fillId="26" borderId="13" xfId="0" applyNumberFormat="1" applyFont="1" applyFill="1" applyBorder="1" applyAlignment="1">
      <alignment horizontal="center"/>
    </xf>
    <xf numFmtId="4" fontId="21" fillId="11" borderId="13" xfId="0" applyNumberFormat="1" applyFont="1" applyFill="1" applyBorder="1" applyAlignment="1">
      <alignment horizontal="center"/>
    </xf>
    <xf numFmtId="4" fontId="21" fillId="22" borderId="13" xfId="0" applyNumberFormat="1" applyFont="1" applyFill="1" applyBorder="1" applyAlignment="1">
      <alignment horizontal="center"/>
    </xf>
    <xf numFmtId="0" fontId="23" fillId="0" borderId="0" xfId="0" applyFont="1" applyAlignment="1" quotePrefix="1">
      <alignment horizontal="center"/>
    </xf>
    <xf numFmtId="0" fontId="23" fillId="0" borderId="0" xfId="0" applyFont="1" applyAlignment="1">
      <alignment/>
    </xf>
    <xf numFmtId="4" fontId="23" fillId="10" borderId="0" xfId="0" applyNumberFormat="1" applyFont="1" applyFill="1" applyAlignment="1">
      <alignment/>
    </xf>
    <xf numFmtId="0" fontId="24" fillId="20" borderId="0" xfId="0" applyFont="1" applyFill="1" applyAlignment="1" quotePrefix="1">
      <alignment horizontal="center"/>
    </xf>
    <xf numFmtId="0" fontId="24" fillId="20" borderId="0" xfId="0" applyFont="1" applyFill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" fontId="23" fillId="0" borderId="0" xfId="0" applyNumberFormat="1" applyFont="1" applyAlignment="1">
      <alignment/>
    </xf>
    <xf numFmtId="0" fontId="24" fillId="20" borderId="0" xfId="0" applyFont="1" applyFill="1" applyAlignment="1">
      <alignment horizontal="center"/>
    </xf>
    <xf numFmtId="0" fontId="25" fillId="0" borderId="0" xfId="0" applyFont="1" applyAlignment="1">
      <alignment/>
    </xf>
    <xf numFmtId="4" fontId="26" fillId="10" borderId="13" xfId="0" applyNumberFormat="1" applyFont="1" applyFill="1" applyBorder="1" applyAlignment="1">
      <alignment/>
    </xf>
    <xf numFmtId="4" fontId="21" fillId="11" borderId="14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27" fillId="6" borderId="0" xfId="0" applyNumberFormat="1" applyFont="1" applyFill="1" applyAlignment="1">
      <alignment/>
    </xf>
    <xf numFmtId="0" fontId="28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NumberFormat="1" applyFont="1" applyAlignment="1" quotePrefix="1">
      <alignment/>
    </xf>
    <xf numFmtId="0" fontId="21" fillId="0" borderId="0" xfId="0" applyFont="1" applyAlignment="1">
      <alignment vertical="top"/>
    </xf>
    <xf numFmtId="4" fontId="29" fillId="0" borderId="0" xfId="0" applyNumberFormat="1" applyFont="1" applyAlignment="1">
      <alignment vertical="top"/>
    </xf>
    <xf numFmtId="43" fontId="19" fillId="0" borderId="0" xfId="77" applyFont="1" applyAlignment="1">
      <alignment/>
    </xf>
    <xf numFmtId="43" fontId="21" fillId="10" borderId="13" xfId="77" applyFont="1" applyFill="1" applyBorder="1" applyAlignment="1">
      <alignment horizontal="center"/>
    </xf>
    <xf numFmtId="43" fontId="21" fillId="0" borderId="0" xfId="77" applyFont="1" applyAlignment="1">
      <alignment/>
    </xf>
    <xf numFmtId="43" fontId="21" fillId="11" borderId="14" xfId="77" applyFont="1" applyFill="1" applyBorder="1" applyAlignment="1">
      <alignment/>
    </xf>
    <xf numFmtId="0" fontId="30" fillId="0" borderId="0" xfId="0" applyFont="1" applyAlignment="1">
      <alignment horizontal="centerContinuous"/>
    </xf>
    <xf numFmtId="0" fontId="31" fillId="0" borderId="0" xfId="0" applyFont="1" applyAlignment="1">
      <alignment/>
    </xf>
    <xf numFmtId="43" fontId="31" fillId="0" borderId="0" xfId="77" applyFont="1" applyAlignment="1">
      <alignment/>
    </xf>
    <xf numFmtId="43" fontId="31" fillId="0" borderId="0" xfId="0" applyNumberFormat="1" applyFont="1" applyAlignment="1">
      <alignment/>
    </xf>
    <xf numFmtId="43" fontId="30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32" fillId="20" borderId="13" xfId="0" applyFont="1" applyFill="1" applyBorder="1" applyAlignment="1">
      <alignment horizontal="center" vertical="center"/>
    </xf>
    <xf numFmtId="0" fontId="32" fillId="20" borderId="13" xfId="0" applyFont="1" applyFill="1" applyBorder="1" applyAlignment="1">
      <alignment horizontal="center" vertical="justify"/>
    </xf>
    <xf numFmtId="0" fontId="32" fillId="0" borderId="0" xfId="0" applyFont="1" applyAlignment="1">
      <alignment horizontal="center" vertical="justify"/>
    </xf>
    <xf numFmtId="0" fontId="33" fillId="20" borderId="15" xfId="0" applyFont="1" applyFill="1" applyBorder="1" applyAlignment="1">
      <alignment horizontal="justify" vertical="center"/>
    </xf>
    <xf numFmtId="0" fontId="32" fillId="19" borderId="13" xfId="0" applyFont="1" applyFill="1" applyBorder="1" applyAlignment="1">
      <alignment horizontal="justify" vertical="justify"/>
    </xf>
    <xf numFmtId="0" fontId="34" fillId="0" borderId="13" xfId="0" applyFont="1" applyBorder="1" applyAlignment="1">
      <alignment horizontal="center"/>
    </xf>
    <xf numFmtId="43" fontId="34" fillId="0" borderId="13" xfId="77" applyFont="1" applyBorder="1" applyAlignment="1">
      <alignment horizontal="center"/>
    </xf>
    <xf numFmtId="43" fontId="34" fillId="0" borderId="0" xfId="77" applyFont="1" applyAlignment="1">
      <alignment/>
    </xf>
    <xf numFmtId="43" fontId="34" fillId="0" borderId="13" xfId="77" applyFont="1" applyBorder="1" applyAlignment="1">
      <alignment/>
    </xf>
    <xf numFmtId="43" fontId="34" fillId="0" borderId="0" xfId="0" applyNumberFormat="1" applyFont="1" applyAlignment="1">
      <alignment/>
    </xf>
    <xf numFmtId="0" fontId="33" fillId="20" borderId="16" xfId="0" applyFont="1" applyFill="1" applyBorder="1" applyAlignment="1">
      <alignment horizontal="justify" vertical="center"/>
    </xf>
    <xf numFmtId="0" fontId="33" fillId="20" borderId="17" xfId="0" applyFont="1" applyFill="1" applyBorder="1" applyAlignment="1">
      <alignment horizontal="justify" vertical="center"/>
    </xf>
    <xf numFmtId="0" fontId="32" fillId="12" borderId="13" xfId="0" applyFont="1" applyFill="1" applyBorder="1" applyAlignment="1">
      <alignment horizontal="justify" vertical="justify"/>
    </xf>
    <xf numFmtId="0" fontId="34" fillId="12" borderId="13" xfId="0" applyFont="1" applyFill="1" applyBorder="1" applyAlignment="1">
      <alignment horizontal="center"/>
    </xf>
    <xf numFmtId="43" fontId="34" fillId="12" borderId="13" xfId="77" applyFont="1" applyFill="1" applyBorder="1" applyAlignment="1">
      <alignment/>
    </xf>
    <xf numFmtId="43" fontId="32" fillId="0" borderId="0" xfId="0" applyNumberFormat="1" applyFont="1" applyAlignment="1">
      <alignment/>
    </xf>
    <xf numFmtId="0" fontId="33" fillId="20" borderId="15" xfId="0" applyFont="1" applyFill="1" applyBorder="1" applyAlignment="1">
      <alignment horizontal="center" vertical="center"/>
    </xf>
    <xf numFmtId="0" fontId="33" fillId="20" borderId="16" xfId="0" applyFont="1" applyFill="1" applyBorder="1" applyAlignment="1">
      <alignment horizontal="center" vertical="center"/>
    </xf>
    <xf numFmtId="0" fontId="33" fillId="20" borderId="17" xfId="0" applyFont="1" applyFill="1" applyBorder="1" applyAlignment="1">
      <alignment horizontal="center" vertical="center"/>
    </xf>
    <xf numFmtId="43" fontId="34" fillId="0" borderId="16" xfId="77" applyFont="1" applyFill="1" applyBorder="1" applyAlignment="1">
      <alignment/>
    </xf>
    <xf numFmtId="0" fontId="32" fillId="15" borderId="13" xfId="0" applyFont="1" applyFill="1" applyBorder="1" applyAlignment="1">
      <alignment horizontal="justify" vertical="justify"/>
    </xf>
    <xf numFmtId="0" fontId="34" fillId="15" borderId="13" xfId="0" applyFont="1" applyFill="1" applyBorder="1" applyAlignment="1">
      <alignment horizontal="center"/>
    </xf>
    <xf numFmtId="43" fontId="34" fillId="15" borderId="13" xfId="77" applyFont="1" applyFill="1" applyBorder="1" applyAlignment="1">
      <alignment/>
    </xf>
    <xf numFmtId="0" fontId="32" fillId="17" borderId="13" xfId="0" applyFont="1" applyFill="1" applyBorder="1" applyAlignment="1">
      <alignment horizontal="justify" vertical="justify"/>
    </xf>
    <xf numFmtId="0" fontId="34" fillId="17" borderId="13" xfId="0" applyFont="1" applyFill="1" applyBorder="1" applyAlignment="1">
      <alignment horizontal="center"/>
    </xf>
    <xf numFmtId="43" fontId="34" fillId="17" borderId="13" xfId="77" applyFont="1" applyFill="1" applyBorder="1" applyAlignment="1">
      <alignment/>
    </xf>
    <xf numFmtId="0" fontId="32" fillId="19" borderId="13" xfId="0" applyFont="1" applyFill="1" applyBorder="1" applyAlignment="1">
      <alignment horizontal="justify" vertical="center"/>
    </xf>
    <xf numFmtId="0" fontId="33" fillId="20" borderId="15" xfId="0" applyFont="1" applyFill="1" applyBorder="1" applyAlignment="1">
      <alignment horizontal="justify" vertical="justify"/>
    </xf>
    <xf numFmtId="0" fontId="33" fillId="20" borderId="16" xfId="0" applyFont="1" applyFill="1" applyBorder="1" applyAlignment="1">
      <alignment horizontal="justify" vertical="justify"/>
    </xf>
    <xf numFmtId="0" fontId="33" fillId="20" borderId="17" xfId="0" applyFont="1" applyFill="1" applyBorder="1" applyAlignment="1">
      <alignment horizontal="justify" vertical="justify"/>
    </xf>
    <xf numFmtId="0" fontId="32" fillId="16" borderId="13" xfId="0" applyFont="1" applyFill="1" applyBorder="1" applyAlignment="1">
      <alignment horizontal="justify" vertical="center"/>
    </xf>
    <xf numFmtId="0" fontId="34" fillId="16" borderId="13" xfId="0" applyFont="1" applyFill="1" applyBorder="1" applyAlignment="1">
      <alignment horizontal="center"/>
    </xf>
    <xf numFmtId="43" fontId="34" fillId="16" borderId="13" xfId="77" applyFont="1" applyFill="1" applyBorder="1" applyAlignment="1">
      <alignment/>
    </xf>
    <xf numFmtId="0" fontId="32" fillId="23" borderId="13" xfId="0" applyFont="1" applyFill="1" applyBorder="1" applyAlignment="1">
      <alignment horizontal="justify" vertical="justify"/>
    </xf>
    <xf numFmtId="0" fontId="34" fillId="23" borderId="13" xfId="0" applyFont="1" applyFill="1" applyBorder="1" applyAlignment="1">
      <alignment horizontal="center"/>
    </xf>
    <xf numFmtId="43" fontId="34" fillId="23" borderId="13" xfId="77" applyFont="1" applyFill="1" applyBorder="1" applyAlignment="1">
      <alignment/>
    </xf>
    <xf numFmtId="43" fontId="34" fillId="23" borderId="14" xfId="0" applyNumberFormat="1" applyFont="1" applyFill="1" applyBorder="1" applyAlignment="1">
      <alignment/>
    </xf>
    <xf numFmtId="0" fontId="34" fillId="0" borderId="13" xfId="0" applyFont="1" applyBorder="1" applyAlignment="1">
      <alignment/>
    </xf>
    <xf numFmtId="43" fontId="32" fillId="0" borderId="13" xfId="77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43" fontId="32" fillId="20" borderId="14" xfId="0" applyNumberFormat="1" applyFont="1" applyFill="1" applyBorder="1" applyAlignment="1">
      <alignment/>
    </xf>
    <xf numFmtId="43" fontId="32" fillId="20" borderId="14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/>
    </xf>
    <xf numFmtId="43" fontId="34" fillId="23" borderId="0" xfId="0" applyNumberFormat="1" applyFont="1" applyFill="1" applyBorder="1" applyAlignment="1">
      <alignment/>
    </xf>
    <xf numFmtId="4" fontId="36" fillId="0" borderId="0" xfId="0" applyNumberFormat="1" applyFont="1" applyAlignment="1">
      <alignment/>
    </xf>
    <xf numFmtId="4" fontId="36" fillId="0" borderId="0" xfId="0" applyNumberFormat="1" applyFont="1" applyAlignment="1" quotePrefix="1">
      <alignment/>
    </xf>
    <xf numFmtId="0" fontId="36" fillId="0" borderId="0" xfId="0" applyFont="1" applyAlignment="1">
      <alignment/>
    </xf>
    <xf numFmtId="0" fontId="32" fillId="20" borderId="13" xfId="0" applyFont="1" applyFill="1" applyBorder="1" applyAlignment="1">
      <alignment horizontal="justify" vertical="center"/>
    </xf>
    <xf numFmtId="43" fontId="36" fillId="0" borderId="0" xfId="77" applyFont="1" applyAlignment="1">
      <alignment/>
    </xf>
  </cellXfs>
  <cellStyles count="9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Incorrecto" xfId="75"/>
    <cellStyle name="Incorrecto 2" xfId="76"/>
    <cellStyle name="Comma" xfId="77"/>
    <cellStyle name="Comma [0]" xfId="78"/>
    <cellStyle name="Millares 2" xfId="79"/>
    <cellStyle name="Millares 3" xfId="80"/>
    <cellStyle name="Currency" xfId="81"/>
    <cellStyle name="Currency [0]" xfId="82"/>
    <cellStyle name="Neutral" xfId="83"/>
    <cellStyle name="Neutral 2" xfId="84"/>
    <cellStyle name="Normal 2" xfId="85"/>
    <cellStyle name="Normal 3" xfId="86"/>
    <cellStyle name="Notas" xfId="87"/>
    <cellStyle name="Notas 2" xfId="88"/>
    <cellStyle name="Percent" xfId="89"/>
    <cellStyle name="Salida" xfId="90"/>
    <cellStyle name="Salida 2" xfId="91"/>
    <cellStyle name="Texto de advertencia" xfId="92"/>
    <cellStyle name="Texto de advertencia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ítulo 4" xfId="103"/>
    <cellStyle name="Total" xfId="104"/>
    <cellStyle name="Total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86"/>
  <sheetViews>
    <sheetView tabSelected="1" view="pageBreakPreview" zoomScale="60" zoomScaleNormal="90" zoomScalePageLayoutView="0" workbookViewId="0" topLeftCell="A91">
      <selection activeCell="C115" sqref="C115"/>
    </sheetView>
  </sheetViews>
  <sheetFormatPr defaultColWidth="11.421875" defaultRowHeight="15"/>
  <cols>
    <col min="1" max="1" width="27.57421875" style="0" customWidth="1"/>
    <col min="2" max="2" width="68.140625" style="0" customWidth="1"/>
    <col min="3" max="3" width="21.7109375" style="1" customWidth="1"/>
    <col min="4" max="4" width="34.57421875" style="0" customWidth="1"/>
    <col min="5" max="5" width="28.28125" style="0" customWidth="1"/>
    <col min="6" max="6" width="21.57421875" style="0" customWidth="1"/>
    <col min="7" max="7" width="23.7109375" style="0" customWidth="1"/>
    <col min="8" max="8" width="25.57421875" style="0" customWidth="1"/>
    <col min="9" max="9" width="29.140625" style="0" customWidth="1"/>
    <col min="10" max="10" width="28.421875" style="0" customWidth="1"/>
    <col min="11" max="12" width="31.140625" style="0" customWidth="1"/>
    <col min="13" max="13" width="16.57421875" style="0" hidden="1" customWidth="1"/>
    <col min="14" max="14" width="0.2890625" style="0" hidden="1" customWidth="1"/>
    <col min="15" max="15" width="0.13671875" style="0" hidden="1" customWidth="1"/>
    <col min="16" max="16" width="25.8515625" style="0" customWidth="1"/>
    <col min="17" max="17" width="15.421875" style="0" customWidth="1"/>
    <col min="18" max="18" width="27.140625" style="0" customWidth="1"/>
  </cols>
  <sheetData>
    <row r="1" spans="1:17" ht="15.75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ht="15.75">
      <c r="A2" s="46" t="s">
        <v>318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ht="15.75">
      <c r="A3" s="46" t="s">
        <v>27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1:17" s="2" customFormat="1" ht="54">
      <c r="A4" s="52" t="s">
        <v>28</v>
      </c>
      <c r="B4" s="52" t="s">
        <v>29</v>
      </c>
      <c r="C4" s="52" t="s">
        <v>30</v>
      </c>
      <c r="D4" s="52" t="s">
        <v>139</v>
      </c>
      <c r="E4" s="52" t="s">
        <v>313</v>
      </c>
      <c r="F4" s="52" t="s">
        <v>316</v>
      </c>
      <c r="G4" s="52" t="s">
        <v>25</v>
      </c>
      <c r="H4" s="103" t="s">
        <v>317</v>
      </c>
      <c r="I4" s="53" t="s">
        <v>143</v>
      </c>
      <c r="J4" s="52" t="s">
        <v>31</v>
      </c>
      <c r="K4" s="52" t="s">
        <v>32</v>
      </c>
      <c r="L4" s="52" t="s">
        <v>33</v>
      </c>
      <c r="M4" s="52" t="s">
        <v>34</v>
      </c>
      <c r="N4" s="52" t="s">
        <v>35</v>
      </c>
      <c r="O4" s="52" t="s">
        <v>36</v>
      </c>
      <c r="P4" s="53" t="s">
        <v>37</v>
      </c>
      <c r="Q4" s="54" t="s">
        <v>38</v>
      </c>
    </row>
    <row r="5" spans="1:18" ht="18.75">
      <c r="A5" s="55" t="s">
        <v>39</v>
      </c>
      <c r="B5" s="56" t="s">
        <v>40</v>
      </c>
      <c r="C5" s="57">
        <v>101</v>
      </c>
      <c r="D5" s="58">
        <v>1507677000</v>
      </c>
      <c r="E5" s="58">
        <v>4100000</v>
      </c>
      <c r="F5" s="58">
        <v>1500000</v>
      </c>
      <c r="G5" s="58">
        <v>1000000</v>
      </c>
      <c r="H5" s="58">
        <v>0</v>
      </c>
      <c r="I5" s="58">
        <f>SUM(D5:H5)</f>
        <v>1514277000</v>
      </c>
      <c r="J5" s="58">
        <v>0</v>
      </c>
      <c r="K5" s="58">
        <v>178887453.68</v>
      </c>
      <c r="L5" s="58">
        <v>1233789546.32</v>
      </c>
      <c r="M5" s="59">
        <v>447327911.34</v>
      </c>
      <c r="N5" s="60">
        <v>525641175.83</v>
      </c>
      <c r="O5" s="60">
        <v>892949824.17</v>
      </c>
      <c r="P5" s="60">
        <f>+I5-J5-K5-L5</f>
        <v>101600000</v>
      </c>
      <c r="Q5" s="61">
        <f>+L5/I5*100</f>
        <v>81.47713703107159</v>
      </c>
      <c r="R5" s="100" t="s">
        <v>42</v>
      </c>
    </row>
    <row r="6" spans="1:18" ht="18.75">
      <c r="A6" s="62"/>
      <c r="B6" s="56" t="s">
        <v>41</v>
      </c>
      <c r="C6" s="57">
        <v>105</v>
      </c>
      <c r="D6" s="58">
        <v>4000000</v>
      </c>
      <c r="E6" s="58"/>
      <c r="F6" s="58"/>
      <c r="G6" s="58"/>
      <c r="H6" s="58"/>
      <c r="I6" s="58">
        <f aca="true" t="shared" si="0" ref="I6:I19">SUM(D6:H6)</f>
        <v>4000000</v>
      </c>
      <c r="J6" s="58">
        <v>0</v>
      </c>
      <c r="K6" s="58">
        <v>0</v>
      </c>
      <c r="L6" s="58">
        <v>0</v>
      </c>
      <c r="M6" s="59" t="s">
        <v>315</v>
      </c>
      <c r="N6" s="60">
        <v>154823.21</v>
      </c>
      <c r="O6" s="60">
        <v>14845176.79</v>
      </c>
      <c r="P6" s="60">
        <f aca="true" t="shared" si="1" ref="P6:P19">+I6-J6-K6-L6</f>
        <v>4000000</v>
      </c>
      <c r="Q6" s="61">
        <f aca="true" t="shared" si="2" ref="Q6:Q19">+L6/I6*100</f>
        <v>0</v>
      </c>
      <c r="R6" s="101"/>
    </row>
    <row r="7" spans="1:18" ht="18.75">
      <c r="A7" s="62"/>
      <c r="B7" s="56" t="s">
        <v>43</v>
      </c>
      <c r="C7" s="57">
        <v>201</v>
      </c>
      <c r="D7" s="58">
        <v>8000000</v>
      </c>
      <c r="E7" s="58"/>
      <c r="F7" s="58">
        <v>3000000</v>
      </c>
      <c r="G7" s="58">
        <v>4000000</v>
      </c>
      <c r="H7" s="58">
        <v>2000000</v>
      </c>
      <c r="I7" s="58">
        <f t="shared" si="0"/>
        <v>17000000</v>
      </c>
      <c r="J7" s="58">
        <v>0</v>
      </c>
      <c r="K7" s="58">
        <v>1172681.6</v>
      </c>
      <c r="L7" s="58">
        <v>13827318.4</v>
      </c>
      <c r="M7" s="59">
        <v>3939631.01</v>
      </c>
      <c r="N7" s="60">
        <v>3174728.97</v>
      </c>
      <c r="O7" s="60">
        <v>6825271.03</v>
      </c>
      <c r="P7" s="60">
        <f t="shared" si="1"/>
        <v>2000000</v>
      </c>
      <c r="Q7" s="61">
        <f t="shared" si="2"/>
        <v>81.33716705882354</v>
      </c>
      <c r="R7" s="100"/>
    </row>
    <row r="8" spans="1:18" ht="18.75">
      <c r="A8" s="62"/>
      <c r="B8" s="56" t="s">
        <v>44</v>
      </c>
      <c r="C8" s="57">
        <v>202</v>
      </c>
      <c r="D8" s="58">
        <v>1000000</v>
      </c>
      <c r="E8" s="58"/>
      <c r="F8" s="58"/>
      <c r="G8" s="58"/>
      <c r="H8" s="58"/>
      <c r="I8" s="58">
        <f t="shared" si="0"/>
        <v>1000000</v>
      </c>
      <c r="J8" s="58">
        <v>0</v>
      </c>
      <c r="K8" s="58">
        <v>0</v>
      </c>
      <c r="L8" s="58">
        <v>0</v>
      </c>
      <c r="M8" s="59" t="s">
        <v>315</v>
      </c>
      <c r="N8" s="60">
        <v>0</v>
      </c>
      <c r="O8" s="60">
        <v>0</v>
      </c>
      <c r="P8" s="60">
        <f t="shared" si="1"/>
        <v>1000000</v>
      </c>
      <c r="Q8" s="61">
        <f t="shared" si="2"/>
        <v>0</v>
      </c>
      <c r="R8" s="102"/>
    </row>
    <row r="9" spans="1:18" ht="18.75">
      <c r="A9" s="62"/>
      <c r="B9" s="56" t="s">
        <v>45</v>
      </c>
      <c r="C9" s="57">
        <v>301</v>
      </c>
      <c r="D9" s="58">
        <v>926924000</v>
      </c>
      <c r="E9" s="58"/>
      <c r="F9" s="58"/>
      <c r="G9" s="58">
        <v>-16000000</v>
      </c>
      <c r="H9" s="58">
        <v>-20100000</v>
      </c>
      <c r="I9" s="58">
        <f t="shared" si="0"/>
        <v>890824000</v>
      </c>
      <c r="J9" s="58">
        <v>0</v>
      </c>
      <c r="K9" s="58">
        <v>92508558.5</v>
      </c>
      <c r="L9" s="58">
        <v>798315441.5</v>
      </c>
      <c r="M9" s="59">
        <v>283723982.18</v>
      </c>
      <c r="N9" s="60">
        <v>358389541.8</v>
      </c>
      <c r="O9" s="60">
        <v>515216458.2</v>
      </c>
      <c r="P9" s="60">
        <f t="shared" si="1"/>
        <v>0</v>
      </c>
      <c r="Q9" s="61">
        <f t="shared" si="2"/>
        <v>89.61539445502142</v>
      </c>
      <c r="R9" s="100" t="s">
        <v>42</v>
      </c>
    </row>
    <row r="10" spans="1:18" ht="18.75">
      <c r="A10" s="62"/>
      <c r="B10" s="56" t="s">
        <v>46</v>
      </c>
      <c r="C10" s="57">
        <v>302</v>
      </c>
      <c r="D10" s="58">
        <v>829336000</v>
      </c>
      <c r="E10" s="58"/>
      <c r="F10" s="58">
        <v>-14500000</v>
      </c>
      <c r="G10" s="58">
        <v>-19000000</v>
      </c>
      <c r="H10" s="58">
        <v>-8000000</v>
      </c>
      <c r="I10" s="58">
        <f t="shared" si="0"/>
        <v>787836000</v>
      </c>
      <c r="J10" s="58">
        <v>0</v>
      </c>
      <c r="K10" s="58">
        <v>105118208.41</v>
      </c>
      <c r="L10" s="58">
        <v>665717791.59</v>
      </c>
      <c r="M10" s="59">
        <v>240254033.15</v>
      </c>
      <c r="N10" s="60">
        <v>290110408.32</v>
      </c>
      <c r="O10" s="60">
        <v>470425591.68</v>
      </c>
      <c r="P10" s="60">
        <f t="shared" si="1"/>
        <v>17000000</v>
      </c>
      <c r="Q10" s="61">
        <f t="shared" si="2"/>
        <v>84.49953944602684</v>
      </c>
      <c r="R10" s="100"/>
    </row>
    <row r="11" spans="1:18" ht="18.75">
      <c r="A11" s="62"/>
      <c r="B11" s="56" t="s">
        <v>47</v>
      </c>
      <c r="C11" s="57">
        <v>303</v>
      </c>
      <c r="D11" s="58">
        <v>332100000</v>
      </c>
      <c r="E11" s="58"/>
      <c r="F11" s="58"/>
      <c r="G11" s="58"/>
      <c r="H11" s="58">
        <v>0</v>
      </c>
      <c r="I11" s="58">
        <f t="shared" si="0"/>
        <v>332100000</v>
      </c>
      <c r="J11" s="58">
        <v>0</v>
      </c>
      <c r="K11" s="58">
        <v>0</v>
      </c>
      <c r="L11" s="58">
        <v>323331.03</v>
      </c>
      <c r="M11" s="59">
        <v>323331.03</v>
      </c>
      <c r="N11" s="60">
        <v>0</v>
      </c>
      <c r="O11" s="60">
        <v>0</v>
      </c>
      <c r="P11" s="60">
        <f t="shared" si="1"/>
        <v>331776668.97</v>
      </c>
      <c r="Q11" s="61">
        <f t="shared" si="2"/>
        <v>0.09735953929539297</v>
      </c>
      <c r="R11" s="102"/>
    </row>
    <row r="12" spans="1:18" ht="18.75">
      <c r="A12" s="62"/>
      <c r="B12" s="56" t="s">
        <v>48</v>
      </c>
      <c r="C12" s="57">
        <v>304</v>
      </c>
      <c r="D12" s="58">
        <v>284400000</v>
      </c>
      <c r="E12" s="58">
        <v>-12376186.93</v>
      </c>
      <c r="F12" s="58"/>
      <c r="G12" s="58"/>
      <c r="H12" s="58"/>
      <c r="I12" s="58">
        <f t="shared" si="0"/>
        <v>272023813.07</v>
      </c>
      <c r="J12" s="58">
        <v>0</v>
      </c>
      <c r="K12" s="58">
        <v>0</v>
      </c>
      <c r="L12" s="58">
        <v>272023813.07</v>
      </c>
      <c r="M12" s="59">
        <v>272023813.07</v>
      </c>
      <c r="N12" s="60">
        <v>0</v>
      </c>
      <c r="O12" s="60">
        <v>247830942</v>
      </c>
      <c r="P12" s="60">
        <f t="shared" si="1"/>
        <v>0</v>
      </c>
      <c r="Q12" s="61">
        <f t="shared" si="2"/>
        <v>100</v>
      </c>
      <c r="R12" s="102"/>
    </row>
    <row r="13" spans="1:18" ht="18.75">
      <c r="A13" s="62"/>
      <c r="B13" s="56" t="s">
        <v>49</v>
      </c>
      <c r="C13" s="57">
        <v>399</v>
      </c>
      <c r="D13" s="58">
        <v>427103000</v>
      </c>
      <c r="E13" s="58"/>
      <c r="F13" s="58"/>
      <c r="G13" s="58"/>
      <c r="H13" s="58">
        <v>-5500000</v>
      </c>
      <c r="I13" s="58">
        <f t="shared" si="0"/>
        <v>421603000</v>
      </c>
      <c r="J13" s="58">
        <v>0</v>
      </c>
      <c r="K13" s="58">
        <v>70255115.55</v>
      </c>
      <c r="L13" s="58">
        <v>341347884.45</v>
      </c>
      <c r="M13" s="59">
        <v>122051409.7</v>
      </c>
      <c r="N13" s="60">
        <v>171121518.99</v>
      </c>
      <c r="O13" s="60">
        <v>230897481.01</v>
      </c>
      <c r="P13" s="60">
        <f t="shared" si="1"/>
        <v>10000000</v>
      </c>
      <c r="Q13" s="61">
        <f t="shared" si="2"/>
        <v>80.96429210655522</v>
      </c>
      <c r="R13" s="100" t="s">
        <v>42</v>
      </c>
    </row>
    <row r="14" spans="1:18" ht="18.75">
      <c r="A14" s="62"/>
      <c r="B14" s="56" t="s">
        <v>50</v>
      </c>
      <c r="C14" s="57">
        <v>401</v>
      </c>
      <c r="D14" s="58">
        <v>368931000</v>
      </c>
      <c r="E14" s="58"/>
      <c r="F14" s="58"/>
      <c r="G14" s="58"/>
      <c r="H14" s="58"/>
      <c r="I14" s="58">
        <f t="shared" si="0"/>
        <v>368931000</v>
      </c>
      <c r="J14" s="58">
        <v>0</v>
      </c>
      <c r="K14" s="58">
        <v>62410799</v>
      </c>
      <c r="L14" s="58">
        <v>306520201</v>
      </c>
      <c r="M14" s="59">
        <v>126391998</v>
      </c>
      <c r="N14" s="60">
        <v>152512390</v>
      </c>
      <c r="O14" s="60">
        <v>194950610</v>
      </c>
      <c r="P14" s="60">
        <f t="shared" si="1"/>
        <v>0</v>
      </c>
      <c r="Q14" s="61">
        <f t="shared" si="2"/>
        <v>83.08334105835509</v>
      </c>
      <c r="R14" s="100" t="s">
        <v>42</v>
      </c>
    </row>
    <row r="15" spans="1:18" ht="18.75">
      <c r="A15" s="62"/>
      <c r="B15" s="56" t="s">
        <v>51</v>
      </c>
      <c r="C15" s="57">
        <v>405</v>
      </c>
      <c r="D15" s="58">
        <v>19942000</v>
      </c>
      <c r="E15" s="58"/>
      <c r="F15" s="58"/>
      <c r="G15" s="58"/>
      <c r="H15" s="58"/>
      <c r="I15" s="58">
        <f t="shared" si="0"/>
        <v>19942000</v>
      </c>
      <c r="J15" s="58">
        <v>0</v>
      </c>
      <c r="K15" s="58">
        <v>3373342</v>
      </c>
      <c r="L15" s="58">
        <v>16568658</v>
      </c>
      <c r="M15" s="59">
        <v>6832011</v>
      </c>
      <c r="N15" s="60">
        <v>8244096</v>
      </c>
      <c r="O15" s="60">
        <v>10537904</v>
      </c>
      <c r="P15" s="60">
        <f t="shared" si="1"/>
        <v>0</v>
      </c>
      <c r="Q15" s="61">
        <f t="shared" si="2"/>
        <v>83.08423427941028</v>
      </c>
      <c r="R15" s="100" t="s">
        <v>42</v>
      </c>
    </row>
    <row r="16" spans="1:18" ht="18.75">
      <c r="A16" s="62"/>
      <c r="B16" s="56" t="s">
        <v>52</v>
      </c>
      <c r="C16" s="57">
        <v>501</v>
      </c>
      <c r="D16" s="58">
        <v>202613000</v>
      </c>
      <c r="E16" s="58"/>
      <c r="F16" s="58"/>
      <c r="G16" s="58"/>
      <c r="H16" s="58"/>
      <c r="I16" s="58">
        <f t="shared" si="0"/>
        <v>202613000</v>
      </c>
      <c r="J16" s="58">
        <v>0</v>
      </c>
      <c r="K16" s="58">
        <v>35709774</v>
      </c>
      <c r="L16" s="58">
        <v>166903226</v>
      </c>
      <c r="M16" s="59">
        <v>68801371</v>
      </c>
      <c r="N16" s="60">
        <v>85189199</v>
      </c>
      <c r="O16" s="60">
        <v>105633801</v>
      </c>
      <c r="P16" s="60">
        <f t="shared" si="1"/>
        <v>0</v>
      </c>
      <c r="Q16" s="61">
        <f t="shared" si="2"/>
        <v>82.37537867757744</v>
      </c>
      <c r="R16" s="100" t="s">
        <v>42</v>
      </c>
    </row>
    <row r="17" spans="1:18" ht="18.75">
      <c r="A17" s="62"/>
      <c r="B17" s="56" t="s">
        <v>53</v>
      </c>
      <c r="C17" s="57">
        <v>502</v>
      </c>
      <c r="D17" s="58">
        <v>59827000</v>
      </c>
      <c r="E17" s="58"/>
      <c r="F17" s="58"/>
      <c r="G17" s="58"/>
      <c r="H17" s="58"/>
      <c r="I17" s="58">
        <f t="shared" si="0"/>
        <v>59827000</v>
      </c>
      <c r="J17" s="58">
        <v>0</v>
      </c>
      <c r="K17" s="58">
        <v>10121016</v>
      </c>
      <c r="L17" s="58">
        <v>49705984</v>
      </c>
      <c r="M17" s="59">
        <v>20496006</v>
      </c>
      <c r="N17" s="60">
        <v>24731024</v>
      </c>
      <c r="O17" s="60">
        <v>31613976</v>
      </c>
      <c r="P17" s="60">
        <f t="shared" si="1"/>
        <v>0</v>
      </c>
      <c r="Q17" s="61">
        <f t="shared" si="2"/>
        <v>83.08286225282899</v>
      </c>
      <c r="R17" s="100" t="s">
        <v>42</v>
      </c>
    </row>
    <row r="18" spans="1:18" ht="18.75">
      <c r="A18" s="62"/>
      <c r="B18" s="56" t="s">
        <v>54</v>
      </c>
      <c r="C18" s="57">
        <v>503</v>
      </c>
      <c r="D18" s="58">
        <v>119653000</v>
      </c>
      <c r="E18" s="58"/>
      <c r="F18" s="58"/>
      <c r="G18" s="58"/>
      <c r="H18" s="58"/>
      <c r="I18" s="58">
        <f t="shared" si="0"/>
        <v>119653000</v>
      </c>
      <c r="J18" s="58">
        <v>0</v>
      </c>
      <c r="K18" s="58">
        <v>20241061</v>
      </c>
      <c r="L18" s="58">
        <v>99411939</v>
      </c>
      <c r="M18" s="59">
        <v>40991992</v>
      </c>
      <c r="N18" s="60">
        <v>49462103</v>
      </c>
      <c r="O18" s="60">
        <v>63227897</v>
      </c>
      <c r="P18" s="60">
        <f t="shared" si="1"/>
        <v>0</v>
      </c>
      <c r="Q18" s="61">
        <f t="shared" si="2"/>
        <v>83.08353238113546</v>
      </c>
      <c r="R18" s="102"/>
    </row>
    <row r="19" spans="1:18" ht="18.75">
      <c r="A19" s="63"/>
      <c r="B19" s="56" t="s">
        <v>55</v>
      </c>
      <c r="C19" s="57">
        <v>505</v>
      </c>
      <c r="D19" s="58">
        <v>125000000</v>
      </c>
      <c r="E19" s="58"/>
      <c r="F19" s="58"/>
      <c r="G19" s="58">
        <v>10000000</v>
      </c>
      <c r="H19" s="58">
        <v>3500000</v>
      </c>
      <c r="I19" s="58">
        <f t="shared" si="0"/>
        <v>138500000</v>
      </c>
      <c r="J19" s="58">
        <v>0</v>
      </c>
      <c r="K19" s="58">
        <v>949265.07</v>
      </c>
      <c r="L19" s="58">
        <v>124050734.93</v>
      </c>
      <c r="M19" s="59">
        <v>47608924.52</v>
      </c>
      <c r="N19" s="60">
        <v>39772271.26</v>
      </c>
      <c r="O19" s="60">
        <v>69527728.74</v>
      </c>
      <c r="P19" s="60">
        <f t="shared" si="1"/>
        <v>13500000</v>
      </c>
      <c r="Q19" s="61">
        <f t="shared" si="2"/>
        <v>89.56731763898918</v>
      </c>
      <c r="R19" s="100" t="s">
        <v>42</v>
      </c>
    </row>
    <row r="20" spans="1:18" ht="18.75">
      <c r="A20" s="62"/>
      <c r="B20" s="64" t="s">
        <v>56</v>
      </c>
      <c r="C20" s="65"/>
      <c r="D20" s="66">
        <f aca="true" t="shared" si="3" ref="D20:P20">SUM(D5:D19)</f>
        <v>5216506000</v>
      </c>
      <c r="E20" s="66">
        <f t="shared" si="3"/>
        <v>-8276186.93</v>
      </c>
      <c r="F20" s="66">
        <f t="shared" si="3"/>
        <v>-10000000</v>
      </c>
      <c r="G20" s="66">
        <f t="shared" si="3"/>
        <v>-20000000</v>
      </c>
      <c r="H20" s="66">
        <f t="shared" si="3"/>
        <v>-28100000</v>
      </c>
      <c r="I20" s="66">
        <f>SUM(I5:I19)</f>
        <v>5150129813.07</v>
      </c>
      <c r="J20" s="66">
        <f t="shared" si="3"/>
        <v>0</v>
      </c>
      <c r="K20" s="66">
        <f t="shared" si="3"/>
        <v>580747274.8100001</v>
      </c>
      <c r="L20" s="66">
        <f t="shared" si="3"/>
        <v>4088505869.29</v>
      </c>
      <c r="M20" s="66">
        <f t="shared" si="3"/>
        <v>1680766414</v>
      </c>
      <c r="N20" s="66">
        <f t="shared" si="3"/>
        <v>1708503280.3799999</v>
      </c>
      <c r="O20" s="66">
        <f t="shared" si="3"/>
        <v>2854482661.62</v>
      </c>
      <c r="P20" s="66">
        <f t="shared" si="3"/>
        <v>480876668.97</v>
      </c>
      <c r="Q20" s="67">
        <f>+L20/I20*100</f>
        <v>79.38646243273692</v>
      </c>
      <c r="R20" s="102"/>
    </row>
    <row r="21" spans="1:18" ht="18.75">
      <c r="A21" s="68" t="s">
        <v>57</v>
      </c>
      <c r="B21" s="56" t="s">
        <v>58</v>
      </c>
      <c r="C21" s="57">
        <v>10101</v>
      </c>
      <c r="D21" s="58">
        <v>61500000</v>
      </c>
      <c r="E21" s="58">
        <v>-4600000</v>
      </c>
      <c r="F21" s="58">
        <v>-5400000</v>
      </c>
      <c r="G21" s="58">
        <v>-3900000</v>
      </c>
      <c r="H21" s="58">
        <v>-9205000</v>
      </c>
      <c r="I21" s="58">
        <f>SUM(D21:H21)</f>
        <v>38395000</v>
      </c>
      <c r="J21" s="58">
        <v>196391.25</v>
      </c>
      <c r="K21" s="58">
        <v>6963905.6</v>
      </c>
      <c r="L21" s="58">
        <v>29941624.4</v>
      </c>
      <c r="M21" s="59">
        <f aca="true" t="shared" si="4" ref="M21:M36">+I21-J21-K21-L21</f>
        <v>1293078.75</v>
      </c>
      <c r="N21" s="60">
        <v>14057000</v>
      </c>
      <c r="O21" s="60">
        <v>2441450</v>
      </c>
      <c r="P21" s="60">
        <f aca="true" t="shared" si="5" ref="P21:P58">+I21-J21-K21-L21</f>
        <v>1293078.75</v>
      </c>
      <c r="Q21" s="61">
        <f>+L21/I21*100</f>
        <v>77.98313426227374</v>
      </c>
      <c r="R21" s="100" t="s">
        <v>42</v>
      </c>
    </row>
    <row r="22" spans="1:18" ht="18.75">
      <c r="A22" s="69"/>
      <c r="B22" s="56" t="s">
        <v>59</v>
      </c>
      <c r="C22" s="57">
        <v>10104</v>
      </c>
      <c r="D22" s="58">
        <v>0</v>
      </c>
      <c r="E22" s="58"/>
      <c r="F22" s="58"/>
      <c r="G22" s="58"/>
      <c r="H22" s="58"/>
      <c r="I22" s="58">
        <f aca="true" t="shared" si="6" ref="I22:I57">SUM(D22:H22)</f>
        <v>0</v>
      </c>
      <c r="J22" s="58">
        <v>0</v>
      </c>
      <c r="K22" s="58">
        <v>0</v>
      </c>
      <c r="L22" s="58">
        <v>0</v>
      </c>
      <c r="M22" s="59">
        <f t="shared" si="4"/>
        <v>0</v>
      </c>
      <c r="N22" s="60">
        <v>1389000</v>
      </c>
      <c r="O22" s="60">
        <v>1389000</v>
      </c>
      <c r="P22" s="60">
        <f t="shared" si="5"/>
        <v>0</v>
      </c>
      <c r="Q22" s="61">
        <v>0</v>
      </c>
      <c r="R22" s="102"/>
    </row>
    <row r="23" spans="1:18" ht="18.75">
      <c r="A23" s="69"/>
      <c r="B23" s="56" t="s">
        <v>60</v>
      </c>
      <c r="C23" s="57">
        <v>10199</v>
      </c>
      <c r="D23" s="58">
        <v>100000</v>
      </c>
      <c r="E23" s="58"/>
      <c r="F23" s="58"/>
      <c r="G23" s="58"/>
      <c r="H23" s="58"/>
      <c r="I23" s="58">
        <f t="shared" si="6"/>
        <v>100000</v>
      </c>
      <c r="J23" s="58">
        <v>0</v>
      </c>
      <c r="K23" s="58">
        <v>0</v>
      </c>
      <c r="L23" s="58">
        <v>34920</v>
      </c>
      <c r="M23" s="59">
        <f t="shared" si="4"/>
        <v>65080</v>
      </c>
      <c r="N23" s="60">
        <v>1500000</v>
      </c>
      <c r="O23" s="60">
        <v>1042107.9</v>
      </c>
      <c r="P23" s="60">
        <f t="shared" si="5"/>
        <v>65080</v>
      </c>
      <c r="Q23" s="61">
        <f aca="true" t="shared" si="7" ref="Q23:Q29">+L23/I23*100</f>
        <v>34.92</v>
      </c>
      <c r="R23" s="100" t="s">
        <v>42</v>
      </c>
    </row>
    <row r="24" spans="1:18" ht="18.75">
      <c r="A24" s="69"/>
      <c r="B24" s="56" t="s">
        <v>61</v>
      </c>
      <c r="C24" s="57">
        <v>10201</v>
      </c>
      <c r="D24" s="58">
        <v>20500000</v>
      </c>
      <c r="E24" s="58"/>
      <c r="F24" s="58"/>
      <c r="G24" s="58"/>
      <c r="H24" s="58"/>
      <c r="I24" s="58">
        <f t="shared" si="6"/>
        <v>20500000</v>
      </c>
      <c r="J24" s="58">
        <v>0</v>
      </c>
      <c r="K24" s="58">
        <v>5273864</v>
      </c>
      <c r="L24" s="58">
        <v>15226136</v>
      </c>
      <c r="M24" s="59">
        <f t="shared" si="4"/>
        <v>0</v>
      </c>
      <c r="N24" s="60">
        <v>8587000</v>
      </c>
      <c r="O24" s="60">
        <v>0</v>
      </c>
      <c r="P24" s="60">
        <f t="shared" si="5"/>
        <v>0</v>
      </c>
      <c r="Q24" s="61">
        <f t="shared" si="7"/>
        <v>74.27383414634147</v>
      </c>
      <c r="R24" s="100" t="s">
        <v>42</v>
      </c>
    </row>
    <row r="25" spans="1:18" ht="18.75">
      <c r="A25" s="69"/>
      <c r="B25" s="56" t="s">
        <v>62</v>
      </c>
      <c r="C25" s="57">
        <v>10202</v>
      </c>
      <c r="D25" s="58">
        <v>28500000</v>
      </c>
      <c r="E25" s="58"/>
      <c r="F25" s="58">
        <v>-3000000</v>
      </c>
      <c r="G25" s="58"/>
      <c r="H25" s="58"/>
      <c r="I25" s="58">
        <f t="shared" si="6"/>
        <v>25500000</v>
      </c>
      <c r="J25" s="58">
        <v>0</v>
      </c>
      <c r="K25" s="58">
        <v>2929088.9</v>
      </c>
      <c r="L25" s="58">
        <v>21470911.1</v>
      </c>
      <c r="M25" s="59">
        <f t="shared" si="4"/>
        <v>1100000</v>
      </c>
      <c r="N25" s="60">
        <v>12507000</v>
      </c>
      <c r="O25" s="60">
        <v>0</v>
      </c>
      <c r="P25" s="60">
        <f t="shared" si="5"/>
        <v>1100000</v>
      </c>
      <c r="Q25" s="61">
        <f t="shared" si="7"/>
        <v>84.19965137254903</v>
      </c>
      <c r="R25" s="100" t="s">
        <v>42</v>
      </c>
    </row>
    <row r="26" spans="1:18" ht="18.75">
      <c r="A26" s="69"/>
      <c r="B26" s="56" t="s">
        <v>63</v>
      </c>
      <c r="C26" s="57">
        <v>10203</v>
      </c>
      <c r="D26" s="58">
        <v>9000000</v>
      </c>
      <c r="E26" s="58"/>
      <c r="F26" s="58"/>
      <c r="G26" s="58"/>
      <c r="H26" s="58"/>
      <c r="I26" s="58">
        <f t="shared" si="6"/>
        <v>9000000</v>
      </c>
      <c r="J26" s="58">
        <v>0</v>
      </c>
      <c r="K26" s="58">
        <v>2136355</v>
      </c>
      <c r="L26" s="58">
        <v>6663645</v>
      </c>
      <c r="M26" s="59">
        <f t="shared" si="4"/>
        <v>200000</v>
      </c>
      <c r="N26" s="60">
        <v>3820000</v>
      </c>
      <c r="O26" s="60">
        <v>570000</v>
      </c>
      <c r="P26" s="60">
        <f t="shared" si="5"/>
        <v>200000</v>
      </c>
      <c r="Q26" s="61">
        <f t="shared" si="7"/>
        <v>74.0405</v>
      </c>
      <c r="R26" s="100" t="s">
        <v>42</v>
      </c>
    </row>
    <row r="27" spans="1:18" ht="18.75">
      <c r="A27" s="69"/>
      <c r="B27" s="56" t="s">
        <v>64</v>
      </c>
      <c r="C27" s="57">
        <v>10204</v>
      </c>
      <c r="D27" s="58">
        <v>48250000</v>
      </c>
      <c r="E27" s="58"/>
      <c r="F27" s="58">
        <v>3000000</v>
      </c>
      <c r="G27" s="58">
        <v>2500000</v>
      </c>
      <c r="H27" s="58">
        <v>1500000</v>
      </c>
      <c r="I27" s="58">
        <f t="shared" si="6"/>
        <v>55250000</v>
      </c>
      <c r="J27" s="58">
        <v>0</v>
      </c>
      <c r="K27" s="58">
        <v>9399320.82</v>
      </c>
      <c r="L27" s="58">
        <v>44350679.18</v>
      </c>
      <c r="M27" s="59">
        <f t="shared" si="4"/>
        <v>1500000</v>
      </c>
      <c r="N27" s="60">
        <v>16962000</v>
      </c>
      <c r="O27" s="60">
        <v>0</v>
      </c>
      <c r="P27" s="60">
        <f t="shared" si="5"/>
        <v>1500000</v>
      </c>
      <c r="Q27" s="61">
        <f t="shared" si="7"/>
        <v>80.27272249773756</v>
      </c>
      <c r="R27" s="100" t="s">
        <v>42</v>
      </c>
    </row>
    <row r="28" spans="1:18" ht="18.75">
      <c r="A28" s="69"/>
      <c r="B28" s="56" t="s">
        <v>65</v>
      </c>
      <c r="C28" s="57">
        <v>10299</v>
      </c>
      <c r="D28" s="58">
        <v>1500000</v>
      </c>
      <c r="E28" s="58"/>
      <c r="F28" s="58"/>
      <c r="G28" s="58"/>
      <c r="H28" s="58">
        <v>100000</v>
      </c>
      <c r="I28" s="58">
        <f t="shared" si="6"/>
        <v>1600000</v>
      </c>
      <c r="J28" s="58">
        <v>0</v>
      </c>
      <c r="K28" s="58">
        <v>44769.44</v>
      </c>
      <c r="L28" s="58">
        <v>1555230.56</v>
      </c>
      <c r="M28" s="59">
        <f t="shared" si="4"/>
        <v>0</v>
      </c>
      <c r="N28" s="60">
        <v>640000</v>
      </c>
      <c r="O28" s="60">
        <v>0</v>
      </c>
      <c r="P28" s="60">
        <f t="shared" si="5"/>
        <v>0</v>
      </c>
      <c r="Q28" s="61">
        <f t="shared" si="7"/>
        <v>97.20191</v>
      </c>
      <c r="R28" s="100" t="s">
        <v>42</v>
      </c>
    </row>
    <row r="29" spans="1:18" ht="18.75">
      <c r="A29" s="69"/>
      <c r="B29" s="56" t="s">
        <v>66</v>
      </c>
      <c r="C29" s="57">
        <v>10301</v>
      </c>
      <c r="D29" s="58">
        <v>6000000</v>
      </c>
      <c r="E29" s="58"/>
      <c r="F29" s="58"/>
      <c r="G29" s="58"/>
      <c r="H29" s="58"/>
      <c r="I29" s="58">
        <f t="shared" si="6"/>
        <v>6000000</v>
      </c>
      <c r="J29" s="58">
        <v>823455</v>
      </c>
      <c r="K29" s="58">
        <v>2271558</v>
      </c>
      <c r="L29" s="58">
        <v>2178442</v>
      </c>
      <c r="M29" s="59">
        <f t="shared" si="4"/>
        <v>726545</v>
      </c>
      <c r="N29" s="60">
        <v>1000000</v>
      </c>
      <c r="O29" s="60">
        <v>0</v>
      </c>
      <c r="P29" s="60">
        <f t="shared" si="5"/>
        <v>726545</v>
      </c>
      <c r="Q29" s="61">
        <f t="shared" si="7"/>
        <v>36.30736666666667</v>
      </c>
      <c r="R29" s="102"/>
    </row>
    <row r="30" spans="1:18" ht="18.75">
      <c r="A30" s="69"/>
      <c r="B30" s="56" t="s">
        <v>137</v>
      </c>
      <c r="C30" s="57">
        <v>10302</v>
      </c>
      <c r="D30" s="58">
        <v>0</v>
      </c>
      <c r="E30" s="58"/>
      <c r="F30" s="58"/>
      <c r="G30" s="58"/>
      <c r="H30" s="58"/>
      <c r="I30" s="58">
        <f t="shared" si="6"/>
        <v>0</v>
      </c>
      <c r="J30" s="58">
        <v>0</v>
      </c>
      <c r="K30" s="58">
        <v>0</v>
      </c>
      <c r="L30" s="58">
        <v>0</v>
      </c>
      <c r="M30" s="59">
        <f t="shared" si="4"/>
        <v>0</v>
      </c>
      <c r="N30" s="60"/>
      <c r="O30" s="60"/>
      <c r="P30" s="60">
        <f t="shared" si="5"/>
        <v>0</v>
      </c>
      <c r="Q30" s="61">
        <v>0</v>
      </c>
      <c r="R30" s="100" t="s">
        <v>42</v>
      </c>
    </row>
    <row r="31" spans="1:18" ht="18.75">
      <c r="A31" s="69"/>
      <c r="B31" s="56" t="s">
        <v>67</v>
      </c>
      <c r="C31" s="57">
        <v>10303</v>
      </c>
      <c r="D31" s="58">
        <v>4000000</v>
      </c>
      <c r="E31" s="58"/>
      <c r="F31" s="58"/>
      <c r="G31" s="58"/>
      <c r="H31" s="58">
        <v>-900000</v>
      </c>
      <c r="I31" s="58">
        <f t="shared" si="6"/>
        <v>3100000</v>
      </c>
      <c r="J31" s="58">
        <v>1473.28</v>
      </c>
      <c r="K31" s="58">
        <v>403886.71</v>
      </c>
      <c r="L31" s="58">
        <v>845978.01</v>
      </c>
      <c r="M31" s="59">
        <f t="shared" si="4"/>
        <v>1848662.0000000002</v>
      </c>
      <c r="N31" s="60">
        <v>5000000</v>
      </c>
      <c r="O31" s="60">
        <v>4700000</v>
      </c>
      <c r="P31" s="60">
        <f t="shared" si="5"/>
        <v>1848662.0000000002</v>
      </c>
      <c r="Q31" s="61">
        <f>+L31/I31*100</f>
        <v>27.289613225806452</v>
      </c>
      <c r="R31" s="100"/>
    </row>
    <row r="32" spans="1:18" ht="18.75">
      <c r="A32" s="69"/>
      <c r="B32" s="56" t="s">
        <v>68</v>
      </c>
      <c r="C32" s="57">
        <v>10304</v>
      </c>
      <c r="D32" s="58">
        <v>200000</v>
      </c>
      <c r="E32" s="58"/>
      <c r="F32" s="58"/>
      <c r="G32" s="58"/>
      <c r="H32" s="58"/>
      <c r="I32" s="58">
        <f t="shared" si="6"/>
        <v>200000</v>
      </c>
      <c r="J32" s="58">
        <v>0</v>
      </c>
      <c r="K32" s="58">
        <v>2100</v>
      </c>
      <c r="L32" s="58">
        <v>17900</v>
      </c>
      <c r="M32" s="59">
        <f t="shared" si="4"/>
        <v>180000</v>
      </c>
      <c r="N32" s="60">
        <v>71600</v>
      </c>
      <c r="O32" s="60">
        <v>0</v>
      </c>
      <c r="P32" s="60">
        <f t="shared" si="5"/>
        <v>180000</v>
      </c>
      <c r="Q32" s="61">
        <f>+L32/I32*100</f>
        <v>8.95</v>
      </c>
      <c r="R32" s="100" t="s">
        <v>42</v>
      </c>
    </row>
    <row r="33" spans="1:18" ht="18.75">
      <c r="A33" s="69"/>
      <c r="B33" s="56" t="s">
        <v>69</v>
      </c>
      <c r="C33" s="57">
        <v>10306</v>
      </c>
      <c r="D33" s="58">
        <v>1700000</v>
      </c>
      <c r="E33" s="58"/>
      <c r="F33" s="58">
        <v>700000</v>
      </c>
      <c r="G33" s="58"/>
      <c r="H33" s="58">
        <v>2000000</v>
      </c>
      <c r="I33" s="58">
        <f t="shared" si="6"/>
        <v>4400000</v>
      </c>
      <c r="J33" s="58">
        <v>500000</v>
      </c>
      <c r="K33" s="58">
        <v>990855.24</v>
      </c>
      <c r="L33" s="58">
        <v>2909144.76</v>
      </c>
      <c r="M33" s="59">
        <f t="shared" si="4"/>
        <v>0</v>
      </c>
      <c r="N33" s="60">
        <v>87000</v>
      </c>
      <c r="O33" s="60">
        <v>87000</v>
      </c>
      <c r="P33" s="60">
        <f t="shared" si="5"/>
        <v>0</v>
      </c>
      <c r="Q33" s="61">
        <f>+L33/I33*100</f>
        <v>66.11692636363637</v>
      </c>
      <c r="R33" s="100" t="s">
        <v>42</v>
      </c>
    </row>
    <row r="34" spans="1:18" ht="36">
      <c r="A34" s="69"/>
      <c r="B34" s="56" t="s">
        <v>70</v>
      </c>
      <c r="C34" s="57">
        <v>10307</v>
      </c>
      <c r="D34" s="58">
        <v>16800000</v>
      </c>
      <c r="E34" s="58"/>
      <c r="F34" s="58"/>
      <c r="G34" s="58">
        <v>1400000</v>
      </c>
      <c r="H34" s="58">
        <v>300000</v>
      </c>
      <c r="I34" s="58">
        <f t="shared" si="6"/>
        <v>18500000</v>
      </c>
      <c r="J34" s="58">
        <v>0</v>
      </c>
      <c r="K34" s="58">
        <v>9829791.11</v>
      </c>
      <c r="L34" s="58">
        <v>8370208.89</v>
      </c>
      <c r="M34" s="59">
        <f t="shared" si="4"/>
        <v>300000.00000000093</v>
      </c>
      <c r="N34" s="60">
        <v>3500000</v>
      </c>
      <c r="O34" s="60">
        <v>1700000</v>
      </c>
      <c r="P34" s="60">
        <f t="shared" si="5"/>
        <v>300000.00000000093</v>
      </c>
      <c r="Q34" s="61">
        <f>+L34/I34*100</f>
        <v>45.24437237837838</v>
      </c>
      <c r="R34" s="100" t="s">
        <v>42</v>
      </c>
    </row>
    <row r="35" spans="1:18" ht="18.75">
      <c r="A35" s="69"/>
      <c r="B35" s="56" t="s">
        <v>311</v>
      </c>
      <c r="C35" s="57">
        <v>10401</v>
      </c>
      <c r="D35" s="58">
        <v>200000</v>
      </c>
      <c r="E35" s="58"/>
      <c r="F35" s="58"/>
      <c r="G35" s="58"/>
      <c r="H35" s="58"/>
      <c r="I35" s="58">
        <f t="shared" si="6"/>
        <v>200000</v>
      </c>
      <c r="J35" s="58"/>
      <c r="K35" s="58"/>
      <c r="L35" s="58"/>
      <c r="M35" s="59"/>
      <c r="N35" s="60"/>
      <c r="O35" s="60"/>
      <c r="P35" s="60">
        <f t="shared" si="5"/>
        <v>200000</v>
      </c>
      <c r="Q35" s="61">
        <f aca="true" t="shared" si="8" ref="Q35:Q55">+L35/I35*100</f>
        <v>0</v>
      </c>
      <c r="R35" s="100" t="s">
        <v>42</v>
      </c>
    </row>
    <row r="36" spans="1:18" ht="18.75">
      <c r="A36" s="69"/>
      <c r="B36" s="56" t="s">
        <v>141</v>
      </c>
      <c r="C36" s="57">
        <v>10403</v>
      </c>
      <c r="D36" s="58">
        <v>650000</v>
      </c>
      <c r="E36" s="58"/>
      <c r="F36" s="58"/>
      <c r="G36" s="58"/>
      <c r="H36" s="58">
        <v>2350000</v>
      </c>
      <c r="I36" s="58">
        <f t="shared" si="6"/>
        <v>3000000</v>
      </c>
      <c r="J36" s="58">
        <v>3000000</v>
      </c>
      <c r="K36" s="58"/>
      <c r="L36" s="58"/>
      <c r="M36" s="59">
        <f t="shared" si="4"/>
        <v>0</v>
      </c>
      <c r="N36" s="60"/>
      <c r="O36" s="60"/>
      <c r="P36" s="60">
        <f t="shared" si="5"/>
        <v>0</v>
      </c>
      <c r="Q36" s="61">
        <f t="shared" si="8"/>
        <v>0</v>
      </c>
      <c r="R36" s="102"/>
    </row>
    <row r="37" spans="1:18" ht="18.75">
      <c r="A37" s="69"/>
      <c r="B37" s="56" t="s">
        <v>314</v>
      </c>
      <c r="C37" s="57">
        <v>10404</v>
      </c>
      <c r="D37" s="58">
        <v>9000000</v>
      </c>
      <c r="E37" s="58"/>
      <c r="F37" s="58"/>
      <c r="G37" s="58"/>
      <c r="H37" s="58"/>
      <c r="I37" s="58">
        <f t="shared" si="6"/>
        <v>9000000</v>
      </c>
      <c r="J37" s="58">
        <v>2000000</v>
      </c>
      <c r="K37" s="58">
        <v>7000000</v>
      </c>
      <c r="L37" s="58">
        <v>0</v>
      </c>
      <c r="M37" s="59"/>
      <c r="N37" s="60"/>
      <c r="O37" s="60"/>
      <c r="P37" s="60">
        <f t="shared" si="5"/>
        <v>0</v>
      </c>
      <c r="Q37" s="61">
        <f t="shared" si="8"/>
        <v>0</v>
      </c>
      <c r="R37" s="102"/>
    </row>
    <row r="38" spans="1:18" ht="18.75">
      <c r="A38" s="69"/>
      <c r="B38" s="56" t="s">
        <v>71</v>
      </c>
      <c r="C38" s="57">
        <v>10405</v>
      </c>
      <c r="D38" s="58">
        <v>88000000</v>
      </c>
      <c r="E38" s="58"/>
      <c r="F38" s="58"/>
      <c r="G38" s="58">
        <v>-60000000</v>
      </c>
      <c r="H38" s="58">
        <v>-5000000</v>
      </c>
      <c r="I38" s="58">
        <f t="shared" si="6"/>
        <v>23000000</v>
      </c>
      <c r="J38" s="58">
        <v>1427895</v>
      </c>
      <c r="K38" s="58">
        <v>10822105</v>
      </c>
      <c r="L38" s="58">
        <v>10750000</v>
      </c>
      <c r="M38" s="59">
        <f aca="true" t="shared" si="9" ref="M38:M57">+I37-J38-K38-L38</f>
        <v>-14000000</v>
      </c>
      <c r="N38" s="60">
        <v>10000000</v>
      </c>
      <c r="O38" s="60">
        <v>10000000</v>
      </c>
      <c r="P38" s="60">
        <f t="shared" si="5"/>
        <v>0</v>
      </c>
      <c r="Q38" s="61">
        <f t="shared" si="8"/>
        <v>46.73913043478261</v>
      </c>
      <c r="R38" s="100"/>
    </row>
    <row r="39" spans="1:18" ht="18.75">
      <c r="A39" s="69"/>
      <c r="B39" s="56" t="s">
        <v>72</v>
      </c>
      <c r="C39" s="57">
        <v>10406</v>
      </c>
      <c r="D39" s="58">
        <v>113300000</v>
      </c>
      <c r="E39" s="58"/>
      <c r="F39" s="58"/>
      <c r="G39" s="58"/>
      <c r="H39" s="58"/>
      <c r="I39" s="58">
        <f t="shared" si="6"/>
        <v>113300000</v>
      </c>
      <c r="J39" s="58">
        <v>150000</v>
      </c>
      <c r="K39" s="58">
        <v>27638578.49</v>
      </c>
      <c r="L39" s="58">
        <v>64107277.61</v>
      </c>
      <c r="M39" s="59">
        <f t="shared" si="9"/>
        <v>-68895856.1</v>
      </c>
      <c r="N39" s="60">
        <v>54432000</v>
      </c>
      <c r="O39" s="60">
        <v>9675628.23</v>
      </c>
      <c r="P39" s="60">
        <f t="shared" si="5"/>
        <v>21404143.900000006</v>
      </c>
      <c r="Q39" s="61">
        <f t="shared" si="8"/>
        <v>56.58188668137687</v>
      </c>
      <c r="R39" s="100"/>
    </row>
    <row r="40" spans="1:18" ht="18.75">
      <c r="A40" s="69"/>
      <c r="B40" s="56" t="s">
        <v>73</v>
      </c>
      <c r="C40" s="57">
        <v>10499</v>
      </c>
      <c r="D40" s="58">
        <v>10200000</v>
      </c>
      <c r="E40" s="58"/>
      <c r="F40" s="58"/>
      <c r="G40" s="58"/>
      <c r="H40" s="58"/>
      <c r="I40" s="58">
        <f t="shared" si="6"/>
        <v>10200000</v>
      </c>
      <c r="J40" s="58">
        <v>905000</v>
      </c>
      <c r="K40" s="58">
        <v>1542203</v>
      </c>
      <c r="L40" s="58">
        <v>3884583.05</v>
      </c>
      <c r="M40" s="59">
        <f t="shared" si="9"/>
        <v>106968213.95</v>
      </c>
      <c r="N40" s="60">
        <v>6980000</v>
      </c>
      <c r="O40" s="60">
        <v>4194154.28</v>
      </c>
      <c r="P40" s="60">
        <f t="shared" si="5"/>
        <v>3868213.95</v>
      </c>
      <c r="Q40" s="61">
        <f t="shared" si="8"/>
        <v>38.084147549019605</v>
      </c>
      <c r="R40" s="100"/>
    </row>
    <row r="41" spans="1:18" ht="18.75">
      <c r="A41" s="69"/>
      <c r="B41" s="56" t="s">
        <v>74</v>
      </c>
      <c r="C41" s="57">
        <v>10501</v>
      </c>
      <c r="D41" s="58">
        <v>2000000</v>
      </c>
      <c r="E41" s="58"/>
      <c r="F41" s="58"/>
      <c r="G41" s="58"/>
      <c r="H41" s="58"/>
      <c r="I41" s="58">
        <f t="shared" si="6"/>
        <v>2000000</v>
      </c>
      <c r="J41" s="58">
        <v>0</v>
      </c>
      <c r="K41" s="58">
        <v>214805</v>
      </c>
      <c r="L41" s="58">
        <v>1385195</v>
      </c>
      <c r="M41" s="59">
        <f t="shared" si="9"/>
        <v>8600000</v>
      </c>
      <c r="N41" s="60">
        <v>2000000</v>
      </c>
      <c r="O41" s="60">
        <v>768582.2</v>
      </c>
      <c r="P41" s="60">
        <f t="shared" si="5"/>
        <v>400000</v>
      </c>
      <c r="Q41" s="61">
        <f t="shared" si="8"/>
        <v>69.25975</v>
      </c>
      <c r="R41" s="100" t="s">
        <v>42</v>
      </c>
    </row>
    <row r="42" spans="1:18" ht="18.75">
      <c r="A42" s="69"/>
      <c r="B42" s="56" t="s">
        <v>75</v>
      </c>
      <c r="C42" s="57">
        <v>10502</v>
      </c>
      <c r="D42" s="58">
        <v>25000000</v>
      </c>
      <c r="E42" s="58"/>
      <c r="F42" s="58"/>
      <c r="G42" s="58"/>
      <c r="H42" s="58"/>
      <c r="I42" s="58">
        <f t="shared" si="6"/>
        <v>25000000</v>
      </c>
      <c r="J42" s="58">
        <v>0</v>
      </c>
      <c r="K42" s="58">
        <v>7423562</v>
      </c>
      <c r="L42" s="58">
        <v>17576438</v>
      </c>
      <c r="M42" s="59">
        <f t="shared" si="9"/>
        <v>-23000000</v>
      </c>
      <c r="N42" s="60">
        <v>17500000</v>
      </c>
      <c r="O42" s="60">
        <v>6419663</v>
      </c>
      <c r="P42" s="60">
        <f t="shared" si="5"/>
        <v>0</v>
      </c>
      <c r="Q42" s="61">
        <f t="shared" si="8"/>
        <v>70.305752</v>
      </c>
      <c r="R42" s="100" t="s">
        <v>42</v>
      </c>
    </row>
    <row r="43" spans="1:18" ht="18.75">
      <c r="A43" s="69"/>
      <c r="B43" s="56" t="s">
        <v>76</v>
      </c>
      <c r="C43" s="57">
        <v>10503</v>
      </c>
      <c r="D43" s="58">
        <v>3000000</v>
      </c>
      <c r="E43" s="58"/>
      <c r="F43" s="58"/>
      <c r="G43" s="58"/>
      <c r="H43" s="58"/>
      <c r="I43" s="58">
        <f t="shared" si="6"/>
        <v>3000000</v>
      </c>
      <c r="J43" s="58">
        <v>150209.91</v>
      </c>
      <c r="K43" s="58">
        <v>405526.09</v>
      </c>
      <c r="L43" s="58">
        <v>953438.46</v>
      </c>
      <c r="M43" s="59">
        <f t="shared" si="9"/>
        <v>23490825.54</v>
      </c>
      <c r="N43" s="60">
        <v>2000000</v>
      </c>
      <c r="O43" s="60">
        <v>1430000</v>
      </c>
      <c r="P43" s="60">
        <f t="shared" si="5"/>
        <v>1490825.54</v>
      </c>
      <c r="Q43" s="61">
        <f t="shared" si="8"/>
        <v>31.781282</v>
      </c>
      <c r="R43" s="100" t="s">
        <v>42</v>
      </c>
    </row>
    <row r="44" spans="1:18" ht="18.75">
      <c r="A44" s="69"/>
      <c r="B44" s="56" t="s">
        <v>77</v>
      </c>
      <c r="C44" s="57">
        <v>10504</v>
      </c>
      <c r="D44" s="58">
        <v>4500000</v>
      </c>
      <c r="E44" s="58"/>
      <c r="F44" s="58"/>
      <c r="G44" s="58"/>
      <c r="H44" s="58"/>
      <c r="I44" s="58">
        <f t="shared" si="6"/>
        <v>4500000</v>
      </c>
      <c r="J44" s="58">
        <v>0</v>
      </c>
      <c r="K44" s="58">
        <v>27056.08</v>
      </c>
      <c r="L44" s="58">
        <v>2472943.92</v>
      </c>
      <c r="M44" s="59">
        <f t="shared" si="9"/>
        <v>500000</v>
      </c>
      <c r="N44" s="60">
        <v>3000000</v>
      </c>
      <c r="O44" s="60">
        <v>3000000</v>
      </c>
      <c r="P44" s="60">
        <f t="shared" si="5"/>
        <v>2000000</v>
      </c>
      <c r="Q44" s="61">
        <f t="shared" si="8"/>
        <v>54.95430933333333</v>
      </c>
      <c r="R44" s="102"/>
    </row>
    <row r="45" spans="1:18" ht="18.75">
      <c r="A45" s="69"/>
      <c r="B45" s="56" t="s">
        <v>78</v>
      </c>
      <c r="C45" s="57">
        <v>10601</v>
      </c>
      <c r="D45" s="58">
        <v>45000000</v>
      </c>
      <c r="E45" s="58"/>
      <c r="F45" s="58">
        <v>-1500000</v>
      </c>
      <c r="G45" s="58">
        <v>-6000000</v>
      </c>
      <c r="H45" s="58">
        <v>-3000000</v>
      </c>
      <c r="I45" s="58">
        <f t="shared" si="6"/>
        <v>34500000</v>
      </c>
      <c r="J45" s="58">
        <v>0</v>
      </c>
      <c r="K45" s="58">
        <v>0</v>
      </c>
      <c r="L45" s="58">
        <v>34374021</v>
      </c>
      <c r="M45" s="59">
        <f t="shared" si="9"/>
        <v>-29874021</v>
      </c>
      <c r="N45" s="60">
        <v>35400000</v>
      </c>
      <c r="O45" s="60">
        <v>0</v>
      </c>
      <c r="P45" s="60">
        <f t="shared" si="5"/>
        <v>125979</v>
      </c>
      <c r="Q45" s="61">
        <f t="shared" si="8"/>
        <v>99.63484347826088</v>
      </c>
      <c r="R45" s="100" t="s">
        <v>42</v>
      </c>
    </row>
    <row r="46" spans="1:18" ht="18.75">
      <c r="A46" s="69"/>
      <c r="B46" s="56" t="s">
        <v>79</v>
      </c>
      <c r="C46" s="57">
        <v>10701</v>
      </c>
      <c r="D46" s="58">
        <v>10000000</v>
      </c>
      <c r="E46" s="58"/>
      <c r="F46" s="58"/>
      <c r="G46" s="58"/>
      <c r="H46" s="58"/>
      <c r="I46" s="58">
        <f t="shared" si="6"/>
        <v>10000000</v>
      </c>
      <c r="J46" s="58">
        <v>1117500</v>
      </c>
      <c r="K46" s="58">
        <v>1447403.61</v>
      </c>
      <c r="L46" s="58">
        <v>6354032.39</v>
      </c>
      <c r="M46" s="59">
        <f t="shared" si="9"/>
        <v>25581064</v>
      </c>
      <c r="N46" s="60">
        <v>4000000</v>
      </c>
      <c r="O46" s="60">
        <v>1634836</v>
      </c>
      <c r="P46" s="60">
        <f t="shared" si="5"/>
        <v>1081064</v>
      </c>
      <c r="Q46" s="61">
        <f t="shared" si="8"/>
        <v>63.5403239</v>
      </c>
      <c r="R46" s="100" t="s">
        <v>42</v>
      </c>
    </row>
    <row r="47" spans="1:18" ht="18.75">
      <c r="A47" s="69"/>
      <c r="B47" s="56" t="s">
        <v>80</v>
      </c>
      <c r="C47" s="57">
        <v>10702</v>
      </c>
      <c r="D47" s="58">
        <v>3000000</v>
      </c>
      <c r="E47" s="58"/>
      <c r="F47" s="58"/>
      <c r="G47" s="58"/>
      <c r="H47" s="58"/>
      <c r="I47" s="58">
        <f t="shared" si="6"/>
        <v>3000000</v>
      </c>
      <c r="J47" s="58">
        <v>1172500</v>
      </c>
      <c r="K47" s="58">
        <v>162260</v>
      </c>
      <c r="L47" s="58">
        <v>1116990</v>
      </c>
      <c r="M47" s="59">
        <f t="shared" si="9"/>
        <v>7548250</v>
      </c>
      <c r="N47" s="60">
        <v>3000000</v>
      </c>
      <c r="O47" s="60">
        <v>2368530</v>
      </c>
      <c r="P47" s="60">
        <f t="shared" si="5"/>
        <v>548250</v>
      </c>
      <c r="Q47" s="61">
        <f t="shared" si="8"/>
        <v>37.233</v>
      </c>
      <c r="R47" s="100" t="s">
        <v>42</v>
      </c>
    </row>
    <row r="48" spans="1:18" ht="18.75">
      <c r="A48" s="69"/>
      <c r="B48" s="56" t="s">
        <v>81</v>
      </c>
      <c r="C48" s="57">
        <v>10703</v>
      </c>
      <c r="D48" s="58">
        <v>200000</v>
      </c>
      <c r="E48" s="58"/>
      <c r="F48" s="58"/>
      <c r="G48" s="58"/>
      <c r="H48" s="58"/>
      <c r="I48" s="58">
        <f t="shared" si="6"/>
        <v>200000</v>
      </c>
      <c r="J48" s="58">
        <v>0</v>
      </c>
      <c r="K48" s="58">
        <v>131400</v>
      </c>
      <c r="L48" s="58">
        <v>68600</v>
      </c>
      <c r="M48" s="59">
        <f t="shared" si="9"/>
        <v>2800000</v>
      </c>
      <c r="N48" s="60">
        <v>500000</v>
      </c>
      <c r="O48" s="60">
        <v>0</v>
      </c>
      <c r="P48" s="60">
        <f t="shared" si="5"/>
        <v>0</v>
      </c>
      <c r="Q48" s="61">
        <f t="shared" si="8"/>
        <v>34.300000000000004</v>
      </c>
      <c r="R48" s="100" t="s">
        <v>42</v>
      </c>
    </row>
    <row r="49" spans="1:18" ht="18.75">
      <c r="A49" s="69"/>
      <c r="B49" s="56" t="s">
        <v>82</v>
      </c>
      <c r="C49" s="57">
        <v>10801</v>
      </c>
      <c r="D49" s="58">
        <v>30000000</v>
      </c>
      <c r="E49" s="58">
        <v>-3000000</v>
      </c>
      <c r="F49" s="58"/>
      <c r="G49" s="58">
        <v>4000000</v>
      </c>
      <c r="H49" s="58">
        <v>-2000000</v>
      </c>
      <c r="I49" s="58">
        <f t="shared" si="6"/>
        <v>29000000</v>
      </c>
      <c r="J49" s="58">
        <v>9289400</v>
      </c>
      <c r="K49" s="58">
        <v>11152064.29</v>
      </c>
      <c r="L49" s="58">
        <v>8556099</v>
      </c>
      <c r="M49" s="59">
        <f t="shared" si="9"/>
        <v>-28797563.29</v>
      </c>
      <c r="N49" s="60">
        <v>28000000</v>
      </c>
      <c r="O49" s="60">
        <v>22343000</v>
      </c>
      <c r="P49" s="60">
        <f t="shared" si="5"/>
        <v>2436.710000000894</v>
      </c>
      <c r="Q49" s="61">
        <f t="shared" si="8"/>
        <v>29.50378965517241</v>
      </c>
      <c r="R49" s="102"/>
    </row>
    <row r="50" spans="1:18" ht="18.75">
      <c r="A50" s="69"/>
      <c r="B50" s="56" t="s">
        <v>83</v>
      </c>
      <c r="C50" s="57">
        <v>10804</v>
      </c>
      <c r="D50" s="58">
        <v>4000000</v>
      </c>
      <c r="E50" s="58"/>
      <c r="F50" s="58"/>
      <c r="G50" s="58"/>
      <c r="H50" s="58"/>
      <c r="I50" s="58">
        <f t="shared" si="6"/>
        <v>4000000</v>
      </c>
      <c r="J50" s="58">
        <v>0</v>
      </c>
      <c r="K50" s="58">
        <v>493750</v>
      </c>
      <c r="L50" s="58">
        <v>1661400</v>
      </c>
      <c r="M50" s="59">
        <f t="shared" si="9"/>
        <v>26844850</v>
      </c>
      <c r="N50" s="60">
        <v>3200000</v>
      </c>
      <c r="O50" s="60">
        <v>0</v>
      </c>
      <c r="P50" s="60">
        <f t="shared" si="5"/>
        <v>1844850</v>
      </c>
      <c r="Q50" s="61">
        <f t="shared" si="8"/>
        <v>41.535</v>
      </c>
      <c r="R50" s="100" t="s">
        <v>42</v>
      </c>
    </row>
    <row r="51" spans="1:18" ht="18.75">
      <c r="A51" s="69"/>
      <c r="B51" s="56" t="s">
        <v>84</v>
      </c>
      <c r="C51" s="57">
        <v>10805</v>
      </c>
      <c r="D51" s="58">
        <v>9000000</v>
      </c>
      <c r="E51" s="58"/>
      <c r="F51" s="58">
        <v>2000000</v>
      </c>
      <c r="G51" s="58">
        <v>1500000</v>
      </c>
      <c r="H51" s="58"/>
      <c r="I51" s="58">
        <f t="shared" si="6"/>
        <v>12500000</v>
      </c>
      <c r="J51" s="58">
        <v>2185083</v>
      </c>
      <c r="K51" s="58">
        <v>855353.5</v>
      </c>
      <c r="L51" s="58">
        <v>9459563.5</v>
      </c>
      <c r="M51" s="59">
        <f t="shared" si="9"/>
        <v>-8500000</v>
      </c>
      <c r="N51" s="60">
        <v>3412000</v>
      </c>
      <c r="O51" s="60">
        <v>0</v>
      </c>
      <c r="P51" s="60">
        <f t="shared" si="5"/>
        <v>0</v>
      </c>
      <c r="Q51" s="61">
        <f t="shared" si="8"/>
        <v>75.676508</v>
      </c>
      <c r="R51" s="102"/>
    </row>
    <row r="52" spans="1:18" ht="18.75">
      <c r="A52" s="69"/>
      <c r="B52" s="56" t="s">
        <v>85</v>
      </c>
      <c r="C52" s="57">
        <v>10806</v>
      </c>
      <c r="D52" s="58">
        <v>1000000</v>
      </c>
      <c r="E52" s="58"/>
      <c r="F52" s="58"/>
      <c r="G52" s="58"/>
      <c r="H52" s="58"/>
      <c r="I52" s="58">
        <f t="shared" si="6"/>
        <v>1000000</v>
      </c>
      <c r="J52" s="58">
        <v>0</v>
      </c>
      <c r="K52" s="58">
        <v>0</v>
      </c>
      <c r="L52" s="58">
        <v>48000</v>
      </c>
      <c r="M52" s="59">
        <f t="shared" si="9"/>
        <v>12452000</v>
      </c>
      <c r="N52" s="60">
        <v>1250000</v>
      </c>
      <c r="O52" s="60">
        <v>1200000</v>
      </c>
      <c r="P52" s="60">
        <f t="shared" si="5"/>
        <v>952000</v>
      </c>
      <c r="Q52" s="61">
        <f t="shared" si="8"/>
        <v>4.8</v>
      </c>
      <c r="R52" s="100" t="s">
        <v>42</v>
      </c>
    </row>
    <row r="53" spans="1:18" ht="18.75">
      <c r="A53" s="69"/>
      <c r="B53" s="56" t="s">
        <v>86</v>
      </c>
      <c r="C53" s="57">
        <v>10807</v>
      </c>
      <c r="D53" s="58">
        <v>3500000</v>
      </c>
      <c r="E53" s="58"/>
      <c r="F53" s="58"/>
      <c r="G53" s="58"/>
      <c r="H53" s="58">
        <v>800000</v>
      </c>
      <c r="I53" s="58">
        <f t="shared" si="6"/>
        <v>4300000</v>
      </c>
      <c r="J53" s="58">
        <v>1295457</v>
      </c>
      <c r="K53" s="58">
        <v>24332.85</v>
      </c>
      <c r="L53" s="58">
        <v>2968448.61</v>
      </c>
      <c r="M53" s="59">
        <f t="shared" si="9"/>
        <v>-3288238.46</v>
      </c>
      <c r="N53" s="60">
        <v>2600000</v>
      </c>
      <c r="O53" s="60">
        <v>616428.59</v>
      </c>
      <c r="P53" s="60">
        <f t="shared" si="5"/>
        <v>11761.540000000037</v>
      </c>
      <c r="Q53" s="61">
        <f t="shared" si="8"/>
        <v>69.03368860465116</v>
      </c>
      <c r="R53" s="100" t="s">
        <v>42</v>
      </c>
    </row>
    <row r="54" spans="1:18" ht="18.75">
      <c r="A54" s="69"/>
      <c r="B54" s="56" t="s">
        <v>87</v>
      </c>
      <c r="C54" s="57">
        <v>10808</v>
      </c>
      <c r="D54" s="58">
        <v>2500000</v>
      </c>
      <c r="E54" s="58"/>
      <c r="F54" s="58"/>
      <c r="G54" s="58"/>
      <c r="H54" s="58"/>
      <c r="I54" s="58">
        <f t="shared" si="6"/>
        <v>2500000</v>
      </c>
      <c r="J54" s="58">
        <v>912766</v>
      </c>
      <c r="K54" s="58">
        <v>653727.94</v>
      </c>
      <c r="L54" s="58">
        <v>845650.59</v>
      </c>
      <c r="M54" s="59">
        <f t="shared" si="9"/>
        <v>1887855.4700000002</v>
      </c>
      <c r="N54" s="60">
        <v>1000000</v>
      </c>
      <c r="O54" s="60">
        <v>63861.04</v>
      </c>
      <c r="P54" s="60">
        <f t="shared" si="5"/>
        <v>87855.47000000009</v>
      </c>
      <c r="Q54" s="61">
        <f t="shared" si="8"/>
        <v>33.8260236</v>
      </c>
      <c r="R54" s="100" t="s">
        <v>42</v>
      </c>
    </row>
    <row r="55" spans="1:18" ht="18.75">
      <c r="A55" s="69"/>
      <c r="B55" s="56" t="s">
        <v>88</v>
      </c>
      <c r="C55" s="57">
        <v>10899</v>
      </c>
      <c r="D55" s="58">
        <v>150000</v>
      </c>
      <c r="E55" s="58"/>
      <c r="F55" s="58"/>
      <c r="G55" s="58"/>
      <c r="H55" s="58"/>
      <c r="I55" s="58">
        <f t="shared" si="6"/>
        <v>150000</v>
      </c>
      <c r="J55" s="58">
        <v>0</v>
      </c>
      <c r="K55" s="58">
        <v>0</v>
      </c>
      <c r="L55" s="58">
        <v>0</v>
      </c>
      <c r="M55" s="59">
        <f t="shared" si="9"/>
        <v>2500000</v>
      </c>
      <c r="N55" s="60"/>
      <c r="O55" s="60"/>
      <c r="P55" s="60">
        <f t="shared" si="5"/>
        <v>150000</v>
      </c>
      <c r="Q55" s="61">
        <f t="shared" si="8"/>
        <v>0</v>
      </c>
      <c r="R55" s="102"/>
    </row>
    <row r="56" spans="1:18" ht="18.75">
      <c r="A56" s="69"/>
      <c r="B56" s="56" t="s">
        <v>89</v>
      </c>
      <c r="C56" s="57">
        <v>10999</v>
      </c>
      <c r="D56" s="58">
        <v>600000</v>
      </c>
      <c r="E56" s="58"/>
      <c r="F56" s="58"/>
      <c r="G56" s="58"/>
      <c r="H56" s="58"/>
      <c r="I56" s="58">
        <f t="shared" si="6"/>
        <v>600000</v>
      </c>
      <c r="J56" s="58">
        <v>0</v>
      </c>
      <c r="K56" s="58">
        <v>0</v>
      </c>
      <c r="L56" s="58">
        <v>0</v>
      </c>
      <c r="M56" s="59">
        <f t="shared" si="9"/>
        <v>150000</v>
      </c>
      <c r="N56" s="60">
        <v>0</v>
      </c>
      <c r="O56" s="60">
        <v>0</v>
      </c>
      <c r="P56" s="60">
        <f t="shared" si="5"/>
        <v>600000</v>
      </c>
      <c r="Q56" s="61">
        <f>+L56/I55*100</f>
        <v>0</v>
      </c>
      <c r="R56" s="100" t="s">
        <v>42</v>
      </c>
    </row>
    <row r="57" spans="1:18" ht="18.75">
      <c r="A57" s="70"/>
      <c r="B57" s="56" t="s">
        <v>90</v>
      </c>
      <c r="C57" s="57">
        <v>19905</v>
      </c>
      <c r="D57" s="58">
        <v>500000</v>
      </c>
      <c r="E57" s="58"/>
      <c r="F57" s="58"/>
      <c r="G57" s="58"/>
      <c r="H57" s="58"/>
      <c r="I57" s="58">
        <f t="shared" si="6"/>
        <v>500000</v>
      </c>
      <c r="J57" s="58">
        <v>0</v>
      </c>
      <c r="K57" s="58">
        <v>0</v>
      </c>
      <c r="L57" s="58">
        <v>150000</v>
      </c>
      <c r="M57" s="59">
        <f t="shared" si="9"/>
        <v>450000</v>
      </c>
      <c r="N57" s="60">
        <v>1000000</v>
      </c>
      <c r="O57" s="60">
        <v>1000000</v>
      </c>
      <c r="P57" s="60">
        <f t="shared" si="5"/>
        <v>350000</v>
      </c>
      <c r="Q57" s="61">
        <f>+L57/I56*100</f>
        <v>25</v>
      </c>
      <c r="R57" s="100" t="s">
        <v>42</v>
      </c>
    </row>
    <row r="58" spans="1:18" ht="18.75">
      <c r="A58" s="69"/>
      <c r="B58" s="56" t="s">
        <v>140</v>
      </c>
      <c r="C58" s="57">
        <v>19999</v>
      </c>
      <c r="D58" s="58">
        <v>0</v>
      </c>
      <c r="E58" s="58"/>
      <c r="F58" s="58"/>
      <c r="G58" s="58"/>
      <c r="H58" s="58"/>
      <c r="I58" s="58">
        <f>SUM(D58:H58)</f>
        <v>0</v>
      </c>
      <c r="J58" s="58">
        <v>0</v>
      </c>
      <c r="K58" s="58">
        <v>0</v>
      </c>
      <c r="L58" s="58">
        <v>0</v>
      </c>
      <c r="M58" s="59">
        <v>280000</v>
      </c>
      <c r="N58" s="60"/>
      <c r="O58" s="60"/>
      <c r="P58" s="60">
        <f t="shared" si="5"/>
        <v>0</v>
      </c>
      <c r="Q58" s="61">
        <v>0</v>
      </c>
      <c r="R58" s="100" t="s">
        <v>42</v>
      </c>
    </row>
    <row r="59" spans="1:18" ht="17.25" customHeight="1">
      <c r="A59" s="69"/>
      <c r="B59" s="72" t="s">
        <v>91</v>
      </c>
      <c r="C59" s="73"/>
      <c r="D59" s="74">
        <f>SUM(D21:D58)</f>
        <v>563350000</v>
      </c>
      <c r="E59" s="74">
        <f>SUM(E21:E58)</f>
        <v>-7600000</v>
      </c>
      <c r="F59" s="74">
        <f>SUM(F21:F58)</f>
        <v>-4200000</v>
      </c>
      <c r="G59" s="74">
        <f>SUM(G21:G58)</f>
        <v>-60500000</v>
      </c>
      <c r="H59" s="74">
        <f>SUM(H21:H58)</f>
        <v>-13055000</v>
      </c>
      <c r="I59" s="74">
        <f>SUM(I21:I57)</f>
        <v>477995000</v>
      </c>
      <c r="J59" s="74">
        <f aca="true" t="shared" si="10" ref="J59:P59">SUM(J21:J58)</f>
        <v>25127130.44</v>
      </c>
      <c r="K59" s="74">
        <f t="shared" si="10"/>
        <v>110239622.66999999</v>
      </c>
      <c r="L59" s="74">
        <f>SUM(L21:L57)</f>
        <v>300297501.03000003</v>
      </c>
      <c r="M59" s="74">
        <f t="shared" si="10"/>
        <v>50910745.86000001</v>
      </c>
      <c r="N59" s="74">
        <f t="shared" si="10"/>
        <v>248394600</v>
      </c>
      <c r="O59" s="74">
        <f t="shared" si="10"/>
        <v>76644241.24000001</v>
      </c>
      <c r="P59" s="74">
        <f t="shared" si="10"/>
        <v>42330745.86000001</v>
      </c>
      <c r="Q59" s="67">
        <f>+L59/I59*100</f>
        <v>62.824402144373906</v>
      </c>
      <c r="R59" s="100" t="s">
        <v>42</v>
      </c>
    </row>
    <row r="60" spans="1:18" ht="18.75">
      <c r="A60" s="68" t="s">
        <v>92</v>
      </c>
      <c r="B60" s="56" t="s">
        <v>93</v>
      </c>
      <c r="C60" s="57">
        <v>20101</v>
      </c>
      <c r="D60" s="60">
        <v>12000000</v>
      </c>
      <c r="E60" s="60"/>
      <c r="F60" s="60"/>
      <c r="G60" s="60"/>
      <c r="H60" s="60"/>
      <c r="I60" s="60">
        <f>SUM(D60:H60)</f>
        <v>12000000</v>
      </c>
      <c r="J60" s="60">
        <v>0</v>
      </c>
      <c r="K60" s="60">
        <v>6507</v>
      </c>
      <c r="L60" s="60">
        <v>11943493</v>
      </c>
      <c r="M60" s="60">
        <v>0</v>
      </c>
      <c r="N60" s="60">
        <v>4723590</v>
      </c>
      <c r="O60" s="60">
        <v>4574869.91</v>
      </c>
      <c r="P60" s="60">
        <f>+I60-J60-K60-L60</f>
        <v>50000</v>
      </c>
      <c r="Q60" s="61">
        <f>+L60/I60*100</f>
        <v>99.52910833333334</v>
      </c>
      <c r="R60" s="104"/>
    </row>
    <row r="61" spans="1:18" ht="18.75">
      <c r="A61" s="69"/>
      <c r="B61" s="56" t="s">
        <v>94</v>
      </c>
      <c r="C61" s="57">
        <v>20102</v>
      </c>
      <c r="D61" s="60">
        <v>1000000</v>
      </c>
      <c r="E61" s="60">
        <v>500000</v>
      </c>
      <c r="F61" s="60"/>
      <c r="G61" s="60"/>
      <c r="H61" s="60"/>
      <c r="I61" s="60">
        <f aca="true" t="shared" si="11" ref="I61:I81">SUM(D61:H61)</f>
        <v>1500000</v>
      </c>
      <c r="J61" s="60">
        <v>202450</v>
      </c>
      <c r="K61" s="60">
        <v>0.1</v>
      </c>
      <c r="L61" s="60">
        <v>1120519.7</v>
      </c>
      <c r="M61" s="60">
        <v>881760</v>
      </c>
      <c r="N61" s="60">
        <v>1850000</v>
      </c>
      <c r="O61" s="60">
        <v>1800000</v>
      </c>
      <c r="P61" s="60">
        <f aca="true" t="shared" si="12" ref="P61:P82">+I61-J61-K61-L61</f>
        <v>177030.19999999995</v>
      </c>
      <c r="Q61" s="61">
        <f aca="true" t="shared" si="13" ref="Q61:Q82">+L61/I61*100</f>
        <v>74.70131333333333</v>
      </c>
      <c r="R61" s="104"/>
    </row>
    <row r="62" spans="1:18" ht="18.75">
      <c r="A62" s="69"/>
      <c r="B62" s="56" t="s">
        <v>95</v>
      </c>
      <c r="C62" s="57">
        <v>20104</v>
      </c>
      <c r="D62" s="60">
        <v>10000000</v>
      </c>
      <c r="E62" s="60"/>
      <c r="F62" s="60"/>
      <c r="G62" s="60"/>
      <c r="H62" s="60"/>
      <c r="I62" s="60">
        <f t="shared" si="11"/>
        <v>10000000</v>
      </c>
      <c r="J62" s="60">
        <v>107612.01</v>
      </c>
      <c r="K62" s="60">
        <v>5670728.21</v>
      </c>
      <c r="L62" s="60">
        <v>4221659.78</v>
      </c>
      <c r="M62" s="60">
        <v>1000906.27</v>
      </c>
      <c r="N62" s="60">
        <v>5500000</v>
      </c>
      <c r="O62" s="60">
        <v>58920.85</v>
      </c>
      <c r="P62" s="60">
        <f t="shared" si="12"/>
        <v>0</v>
      </c>
      <c r="Q62" s="61">
        <f t="shared" si="13"/>
        <v>42.2165978</v>
      </c>
      <c r="R62" s="104"/>
    </row>
    <row r="63" spans="1:18" ht="18.75">
      <c r="A63" s="69"/>
      <c r="B63" s="56" t="s">
        <v>96</v>
      </c>
      <c r="C63" s="57">
        <v>20199</v>
      </c>
      <c r="D63" s="60">
        <v>200000</v>
      </c>
      <c r="E63" s="60"/>
      <c r="F63" s="60"/>
      <c r="G63" s="60"/>
      <c r="H63" s="60"/>
      <c r="I63" s="60">
        <f t="shared" si="11"/>
        <v>200000</v>
      </c>
      <c r="J63" s="60">
        <v>0</v>
      </c>
      <c r="K63" s="60">
        <v>200</v>
      </c>
      <c r="L63" s="60">
        <v>199640</v>
      </c>
      <c r="M63" s="60">
        <v>2000.8</v>
      </c>
      <c r="N63" s="60">
        <v>0</v>
      </c>
      <c r="O63" s="60">
        <v>-1863.45</v>
      </c>
      <c r="P63" s="60">
        <f t="shared" si="12"/>
        <v>160</v>
      </c>
      <c r="Q63" s="61">
        <f t="shared" si="13"/>
        <v>99.82</v>
      </c>
      <c r="R63" s="104"/>
    </row>
    <row r="64" spans="1:18" ht="18.75">
      <c r="A64" s="69"/>
      <c r="B64" s="56" t="s">
        <v>97</v>
      </c>
      <c r="C64" s="57">
        <v>20202</v>
      </c>
      <c r="D64" s="60">
        <v>0</v>
      </c>
      <c r="E64" s="60"/>
      <c r="F64" s="60"/>
      <c r="G64" s="60"/>
      <c r="H64" s="60"/>
      <c r="I64" s="60">
        <f t="shared" si="11"/>
        <v>0</v>
      </c>
      <c r="J64" s="60">
        <v>0</v>
      </c>
      <c r="K64" s="60">
        <v>0</v>
      </c>
      <c r="L64" s="60">
        <v>0</v>
      </c>
      <c r="M64" s="60">
        <v>500</v>
      </c>
      <c r="N64" s="60">
        <v>100000</v>
      </c>
      <c r="O64" s="60">
        <v>100000</v>
      </c>
      <c r="P64" s="60">
        <f t="shared" si="12"/>
        <v>0</v>
      </c>
      <c r="Q64" s="61">
        <v>0</v>
      </c>
      <c r="R64" s="104"/>
    </row>
    <row r="65" spans="1:18" ht="18.75">
      <c r="A65" s="69"/>
      <c r="B65" s="56" t="s">
        <v>98</v>
      </c>
      <c r="C65" s="57">
        <v>20203</v>
      </c>
      <c r="D65" s="60">
        <v>1700000</v>
      </c>
      <c r="E65" s="60"/>
      <c r="F65" s="60"/>
      <c r="G65" s="60"/>
      <c r="H65" s="60">
        <v>300000</v>
      </c>
      <c r="I65" s="60">
        <f t="shared" si="11"/>
        <v>2000000</v>
      </c>
      <c r="J65" s="60">
        <v>350000</v>
      </c>
      <c r="K65" s="60">
        <v>33955</v>
      </c>
      <c r="L65" s="60">
        <v>1616045</v>
      </c>
      <c r="M65" s="60">
        <v>25097.24</v>
      </c>
      <c r="N65" s="60">
        <v>800000</v>
      </c>
      <c r="O65" s="60">
        <v>0</v>
      </c>
      <c r="P65" s="60">
        <f t="shared" si="12"/>
        <v>0</v>
      </c>
      <c r="Q65" s="61">
        <f t="shared" si="13"/>
        <v>80.80225</v>
      </c>
      <c r="R65" s="104"/>
    </row>
    <row r="66" spans="1:18" ht="18.75">
      <c r="A66" s="69"/>
      <c r="B66" s="56" t="s">
        <v>99</v>
      </c>
      <c r="C66" s="57">
        <v>20301</v>
      </c>
      <c r="D66" s="60">
        <v>200000</v>
      </c>
      <c r="E66" s="60"/>
      <c r="F66" s="60"/>
      <c r="G66" s="60"/>
      <c r="H66" s="60"/>
      <c r="I66" s="60">
        <f t="shared" si="11"/>
        <v>200000</v>
      </c>
      <c r="J66" s="60">
        <v>70000</v>
      </c>
      <c r="K66" s="60">
        <v>9961.44</v>
      </c>
      <c r="L66" s="60">
        <v>120038.56</v>
      </c>
      <c r="M66" s="60">
        <v>0</v>
      </c>
      <c r="N66" s="60">
        <v>1350000</v>
      </c>
      <c r="O66" s="60">
        <v>1290821.9</v>
      </c>
      <c r="P66" s="60">
        <f t="shared" si="12"/>
        <v>0</v>
      </c>
      <c r="Q66" s="61">
        <f t="shared" si="13"/>
        <v>60.019279999999995</v>
      </c>
      <c r="R66" s="104"/>
    </row>
    <row r="67" spans="1:18" ht="18.75">
      <c r="A67" s="69"/>
      <c r="B67" s="56" t="s">
        <v>100</v>
      </c>
      <c r="C67" s="57">
        <v>20302</v>
      </c>
      <c r="D67" s="60">
        <v>200000</v>
      </c>
      <c r="E67" s="60"/>
      <c r="F67" s="60"/>
      <c r="G67" s="60"/>
      <c r="H67" s="60"/>
      <c r="I67" s="60">
        <f t="shared" si="11"/>
        <v>200000</v>
      </c>
      <c r="J67" s="60">
        <v>150000</v>
      </c>
      <c r="K67" s="60">
        <v>2447.55</v>
      </c>
      <c r="L67" s="60">
        <v>47552.45</v>
      </c>
      <c r="M67" s="60">
        <v>4350</v>
      </c>
      <c r="N67" s="60"/>
      <c r="O67" s="60"/>
      <c r="P67" s="60">
        <f t="shared" si="12"/>
        <v>0</v>
      </c>
      <c r="Q67" s="61">
        <f t="shared" si="13"/>
        <v>23.776224999999997</v>
      </c>
      <c r="R67" s="104"/>
    </row>
    <row r="68" spans="1:18" ht="18.75">
      <c r="A68" s="69"/>
      <c r="B68" s="56" t="s">
        <v>101</v>
      </c>
      <c r="C68" s="57">
        <v>20303</v>
      </c>
      <c r="D68" s="60">
        <v>150000</v>
      </c>
      <c r="E68" s="60"/>
      <c r="F68" s="60"/>
      <c r="G68" s="60"/>
      <c r="H68" s="60"/>
      <c r="I68" s="60">
        <f t="shared" si="11"/>
        <v>150000</v>
      </c>
      <c r="J68" s="60">
        <v>110000</v>
      </c>
      <c r="K68" s="60">
        <v>16700</v>
      </c>
      <c r="L68" s="60">
        <v>23300</v>
      </c>
      <c r="M68" s="60">
        <v>300</v>
      </c>
      <c r="N68" s="60">
        <v>200000</v>
      </c>
      <c r="O68" s="60">
        <v>200000</v>
      </c>
      <c r="P68" s="60">
        <f t="shared" si="12"/>
        <v>0</v>
      </c>
      <c r="Q68" s="61">
        <f t="shared" si="13"/>
        <v>15.533333333333331</v>
      </c>
      <c r="R68" s="104"/>
    </row>
    <row r="69" spans="1:18" ht="36">
      <c r="A69" s="69"/>
      <c r="B69" s="56" t="s">
        <v>102</v>
      </c>
      <c r="C69" s="57">
        <v>20304</v>
      </c>
      <c r="D69" s="60">
        <v>4200000</v>
      </c>
      <c r="E69" s="60"/>
      <c r="F69" s="60"/>
      <c r="G69" s="60"/>
      <c r="H69" s="60"/>
      <c r="I69" s="60">
        <f t="shared" si="11"/>
        <v>4200000</v>
      </c>
      <c r="J69" s="60">
        <v>2177680.6</v>
      </c>
      <c r="K69" s="60">
        <v>862964.01</v>
      </c>
      <c r="L69" s="60">
        <v>1074355.39</v>
      </c>
      <c r="M69" s="60">
        <v>0</v>
      </c>
      <c r="N69" s="60">
        <v>2000000</v>
      </c>
      <c r="O69" s="60">
        <v>1851750.21</v>
      </c>
      <c r="P69" s="60">
        <f t="shared" si="12"/>
        <v>85000</v>
      </c>
      <c r="Q69" s="61">
        <f t="shared" si="13"/>
        <v>25.57989023809524</v>
      </c>
      <c r="R69" s="104"/>
    </row>
    <row r="70" spans="1:18" ht="18.75">
      <c r="A70" s="69"/>
      <c r="B70" s="56" t="s">
        <v>103</v>
      </c>
      <c r="C70" s="57">
        <v>20305</v>
      </c>
      <c r="D70" s="60">
        <v>50000</v>
      </c>
      <c r="E70" s="60"/>
      <c r="F70" s="60"/>
      <c r="G70" s="60"/>
      <c r="H70" s="60"/>
      <c r="I70" s="60">
        <f t="shared" si="11"/>
        <v>50000</v>
      </c>
      <c r="J70" s="60">
        <v>0</v>
      </c>
      <c r="K70" s="60">
        <v>0</v>
      </c>
      <c r="L70" s="60">
        <v>0</v>
      </c>
      <c r="M70" s="60">
        <v>18000</v>
      </c>
      <c r="N70" s="60">
        <v>160000</v>
      </c>
      <c r="O70" s="60">
        <v>97404.9</v>
      </c>
      <c r="P70" s="60">
        <f t="shared" si="12"/>
        <v>50000</v>
      </c>
      <c r="Q70" s="61">
        <f t="shared" si="13"/>
        <v>0</v>
      </c>
      <c r="R70" s="104"/>
    </row>
    <row r="71" spans="1:18" ht="18.75">
      <c r="A71" s="69"/>
      <c r="B71" s="56" t="s">
        <v>104</v>
      </c>
      <c r="C71" s="57">
        <v>20306</v>
      </c>
      <c r="D71" s="60">
        <v>700000</v>
      </c>
      <c r="E71" s="60"/>
      <c r="F71" s="60"/>
      <c r="G71" s="60"/>
      <c r="H71" s="60"/>
      <c r="I71" s="60">
        <f t="shared" si="11"/>
        <v>700000</v>
      </c>
      <c r="J71" s="60">
        <v>500000</v>
      </c>
      <c r="K71" s="60">
        <v>27525</v>
      </c>
      <c r="L71" s="60">
        <v>72475</v>
      </c>
      <c r="M71" s="60">
        <v>100000</v>
      </c>
      <c r="N71" s="60">
        <v>185000</v>
      </c>
      <c r="O71" s="60">
        <v>0</v>
      </c>
      <c r="P71" s="60">
        <f t="shared" si="12"/>
        <v>100000</v>
      </c>
      <c r="Q71" s="61">
        <f t="shared" si="13"/>
        <v>10.353571428571428</v>
      </c>
      <c r="R71" s="104"/>
    </row>
    <row r="72" spans="1:18" ht="36">
      <c r="A72" s="69"/>
      <c r="B72" s="56" t="s">
        <v>105</v>
      </c>
      <c r="C72" s="57">
        <v>20399</v>
      </c>
      <c r="D72" s="60">
        <v>600000</v>
      </c>
      <c r="E72" s="60"/>
      <c r="F72" s="60"/>
      <c r="G72" s="60"/>
      <c r="H72" s="60"/>
      <c r="I72" s="60">
        <f t="shared" si="11"/>
        <v>600000</v>
      </c>
      <c r="J72" s="60">
        <v>0</v>
      </c>
      <c r="K72" s="60">
        <v>4990</v>
      </c>
      <c r="L72" s="60">
        <v>85010</v>
      </c>
      <c r="M72" s="60">
        <v>844.04</v>
      </c>
      <c r="N72" s="60">
        <v>500000</v>
      </c>
      <c r="O72" s="60">
        <v>424002</v>
      </c>
      <c r="P72" s="60">
        <f t="shared" si="12"/>
        <v>510000</v>
      </c>
      <c r="Q72" s="61">
        <f t="shared" si="13"/>
        <v>14.168333333333333</v>
      </c>
      <c r="R72" s="104"/>
    </row>
    <row r="73" spans="1:18" ht="18.75">
      <c r="A73" s="69"/>
      <c r="B73" s="56" t="s">
        <v>135</v>
      </c>
      <c r="C73" s="57">
        <v>20401</v>
      </c>
      <c r="D73" s="60">
        <v>1000000</v>
      </c>
      <c r="E73" s="60">
        <v>650000</v>
      </c>
      <c r="F73" s="60"/>
      <c r="G73" s="60"/>
      <c r="H73" s="60"/>
      <c r="I73" s="60">
        <f t="shared" si="11"/>
        <v>1650000</v>
      </c>
      <c r="J73" s="60">
        <v>955000</v>
      </c>
      <c r="K73" s="60">
        <v>21521</v>
      </c>
      <c r="L73" s="60">
        <v>673479</v>
      </c>
      <c r="M73" s="60">
        <v>2833.93</v>
      </c>
      <c r="N73" s="60">
        <v>165000</v>
      </c>
      <c r="O73" s="60">
        <v>161219.45</v>
      </c>
      <c r="P73" s="60">
        <f t="shared" si="12"/>
        <v>0</v>
      </c>
      <c r="Q73" s="61">
        <f t="shared" si="13"/>
        <v>40.81690909090909</v>
      </c>
      <c r="R73" s="104"/>
    </row>
    <row r="74" spans="1:18" ht="18.75">
      <c r="A74" s="69"/>
      <c r="B74" s="56" t="s">
        <v>106</v>
      </c>
      <c r="C74" s="57">
        <v>20402</v>
      </c>
      <c r="D74" s="60">
        <v>2000000</v>
      </c>
      <c r="E74" s="60"/>
      <c r="F74" s="60"/>
      <c r="G74" s="60"/>
      <c r="H74" s="60"/>
      <c r="I74" s="60">
        <f t="shared" si="11"/>
        <v>2000000</v>
      </c>
      <c r="J74" s="60">
        <v>1250035.5</v>
      </c>
      <c r="K74" s="60">
        <v>212419.31</v>
      </c>
      <c r="L74" s="60">
        <v>492712.03</v>
      </c>
      <c r="M74" s="60">
        <v>4228.58</v>
      </c>
      <c r="N74" s="60">
        <v>3000000</v>
      </c>
      <c r="O74" s="60">
        <v>752337.44</v>
      </c>
      <c r="P74" s="60">
        <f t="shared" si="12"/>
        <v>44833.159999999916</v>
      </c>
      <c r="Q74" s="61">
        <f t="shared" si="13"/>
        <v>24.6356015</v>
      </c>
      <c r="R74" s="104"/>
    </row>
    <row r="75" spans="1:18" ht="18.75">
      <c r="A75" s="69"/>
      <c r="B75" s="56" t="s">
        <v>107</v>
      </c>
      <c r="C75" s="57">
        <v>29901</v>
      </c>
      <c r="D75" s="60">
        <v>2000000</v>
      </c>
      <c r="E75" s="60"/>
      <c r="F75" s="60"/>
      <c r="G75" s="60"/>
      <c r="H75" s="60"/>
      <c r="I75" s="60">
        <f t="shared" si="11"/>
        <v>2000000</v>
      </c>
      <c r="J75" s="60">
        <v>417500</v>
      </c>
      <c r="K75" s="60">
        <v>153213</v>
      </c>
      <c r="L75" s="60">
        <v>1425892.43</v>
      </c>
      <c r="M75" s="60">
        <v>6117.4</v>
      </c>
      <c r="N75" s="60">
        <v>1450000</v>
      </c>
      <c r="O75" s="60">
        <v>0</v>
      </c>
      <c r="P75" s="60">
        <f t="shared" si="12"/>
        <v>3394.570000000065</v>
      </c>
      <c r="Q75" s="61">
        <f t="shared" si="13"/>
        <v>71.2946215</v>
      </c>
      <c r="R75" s="104"/>
    </row>
    <row r="76" spans="1:18" ht="18.75">
      <c r="A76" s="69"/>
      <c r="B76" s="56" t="s">
        <v>108</v>
      </c>
      <c r="C76" s="57">
        <v>29902</v>
      </c>
      <c r="D76" s="60">
        <v>350000</v>
      </c>
      <c r="E76" s="60"/>
      <c r="F76" s="60"/>
      <c r="G76" s="60"/>
      <c r="H76" s="60">
        <v>900000</v>
      </c>
      <c r="I76" s="60">
        <f t="shared" si="11"/>
        <v>1250000</v>
      </c>
      <c r="J76" s="60">
        <v>107849.54</v>
      </c>
      <c r="K76" s="60">
        <v>829500.34</v>
      </c>
      <c r="L76" s="60">
        <v>221743</v>
      </c>
      <c r="M76" s="60">
        <v>0</v>
      </c>
      <c r="N76" s="60">
        <v>275000</v>
      </c>
      <c r="O76" s="60">
        <v>275000</v>
      </c>
      <c r="P76" s="60">
        <f t="shared" si="12"/>
        <v>90907.12</v>
      </c>
      <c r="Q76" s="61">
        <f t="shared" si="13"/>
        <v>17.739440000000002</v>
      </c>
      <c r="R76" s="104"/>
    </row>
    <row r="77" spans="1:18" ht="18.75">
      <c r="A77" s="69"/>
      <c r="B77" s="56" t="s">
        <v>109</v>
      </c>
      <c r="C77" s="57">
        <v>29903</v>
      </c>
      <c r="D77" s="60">
        <v>7000000</v>
      </c>
      <c r="E77" s="60"/>
      <c r="F77" s="60"/>
      <c r="G77" s="60"/>
      <c r="H77" s="60">
        <v>635000</v>
      </c>
      <c r="I77" s="60">
        <f t="shared" si="11"/>
        <v>7635000</v>
      </c>
      <c r="J77" s="60">
        <v>660826.31</v>
      </c>
      <c r="K77" s="60">
        <v>187627.35</v>
      </c>
      <c r="L77" s="60">
        <v>6782466.85</v>
      </c>
      <c r="M77" s="60">
        <v>7900.22</v>
      </c>
      <c r="N77" s="60">
        <v>9690000</v>
      </c>
      <c r="O77" s="60">
        <v>5905506.12</v>
      </c>
      <c r="P77" s="60">
        <f t="shared" si="12"/>
        <v>4079.4900000002235</v>
      </c>
      <c r="Q77" s="61">
        <f t="shared" si="13"/>
        <v>88.83388146692862</v>
      </c>
      <c r="R77" s="104"/>
    </row>
    <row r="78" spans="1:18" ht="18.75">
      <c r="A78" s="69"/>
      <c r="B78" s="56" t="s">
        <v>110</v>
      </c>
      <c r="C78" s="57">
        <v>29904</v>
      </c>
      <c r="D78" s="60">
        <v>1350000</v>
      </c>
      <c r="E78" s="60">
        <v>950000</v>
      </c>
      <c r="F78" s="60"/>
      <c r="G78" s="60"/>
      <c r="H78" s="60"/>
      <c r="I78" s="60">
        <f t="shared" si="11"/>
        <v>2300000</v>
      </c>
      <c r="J78" s="60">
        <v>1118800</v>
      </c>
      <c r="K78" s="60">
        <v>485310</v>
      </c>
      <c r="L78" s="60">
        <v>695890</v>
      </c>
      <c r="M78" s="60">
        <v>153162.75</v>
      </c>
      <c r="N78" s="60">
        <v>500000</v>
      </c>
      <c r="O78" s="60">
        <v>430602.7</v>
      </c>
      <c r="P78" s="60">
        <f t="shared" si="12"/>
        <v>0</v>
      </c>
      <c r="Q78" s="61">
        <f t="shared" si="13"/>
        <v>30.256086956521738</v>
      </c>
      <c r="R78" s="104"/>
    </row>
    <row r="79" spans="1:18" ht="18.75">
      <c r="A79" s="69"/>
      <c r="B79" s="56" t="s">
        <v>111</v>
      </c>
      <c r="C79" s="57">
        <v>29905</v>
      </c>
      <c r="D79" s="60">
        <v>1000000</v>
      </c>
      <c r="E79" s="60"/>
      <c r="F79" s="60"/>
      <c r="G79" s="60"/>
      <c r="H79" s="60">
        <v>120000</v>
      </c>
      <c r="I79" s="60">
        <f t="shared" si="11"/>
        <v>1120000</v>
      </c>
      <c r="J79" s="60">
        <v>213000</v>
      </c>
      <c r="K79" s="60">
        <v>8479</v>
      </c>
      <c r="L79" s="60">
        <v>879621</v>
      </c>
      <c r="M79" s="60">
        <v>20000</v>
      </c>
      <c r="N79" s="60">
        <v>1746000</v>
      </c>
      <c r="O79" s="60">
        <v>1595468.6</v>
      </c>
      <c r="P79" s="60">
        <f t="shared" si="12"/>
        <v>18900</v>
      </c>
      <c r="Q79" s="61">
        <f t="shared" si="13"/>
        <v>78.53758928571428</v>
      </c>
      <c r="R79" s="104"/>
    </row>
    <row r="80" spans="1:18" ht="18.75">
      <c r="A80" s="69"/>
      <c r="B80" s="56" t="s">
        <v>138</v>
      </c>
      <c r="C80" s="57">
        <v>29906</v>
      </c>
      <c r="D80" s="60">
        <v>200000</v>
      </c>
      <c r="E80" s="60"/>
      <c r="F80" s="60"/>
      <c r="G80" s="60"/>
      <c r="H80" s="60"/>
      <c r="I80" s="60">
        <f t="shared" si="11"/>
        <v>200000</v>
      </c>
      <c r="J80" s="60">
        <v>12500</v>
      </c>
      <c r="K80" s="60">
        <v>62862.5</v>
      </c>
      <c r="L80" s="60">
        <v>124637.5</v>
      </c>
      <c r="M80" s="60">
        <v>0</v>
      </c>
      <c r="N80" s="60"/>
      <c r="O80" s="60"/>
      <c r="P80" s="60">
        <f t="shared" si="12"/>
        <v>0</v>
      </c>
      <c r="Q80" s="61">
        <f t="shared" si="13"/>
        <v>62.31875</v>
      </c>
      <c r="R80" s="104"/>
    </row>
    <row r="81" spans="1:18" ht="18.75">
      <c r="A81" s="69"/>
      <c r="B81" s="56" t="s">
        <v>112</v>
      </c>
      <c r="C81" s="57">
        <v>29907</v>
      </c>
      <c r="D81" s="60">
        <v>300000</v>
      </c>
      <c r="E81" s="60"/>
      <c r="F81" s="60"/>
      <c r="G81" s="60"/>
      <c r="H81" s="60"/>
      <c r="I81" s="60">
        <f t="shared" si="11"/>
        <v>300000</v>
      </c>
      <c r="J81" s="60">
        <v>0</v>
      </c>
      <c r="K81" s="60">
        <v>26249</v>
      </c>
      <c r="L81" s="60">
        <v>176091</v>
      </c>
      <c r="M81" s="60">
        <v>0</v>
      </c>
      <c r="N81" s="60">
        <v>100000</v>
      </c>
      <c r="O81" s="60">
        <v>95000</v>
      </c>
      <c r="P81" s="60">
        <f t="shared" si="12"/>
        <v>97660</v>
      </c>
      <c r="Q81" s="61">
        <f t="shared" si="13"/>
        <v>58.697</v>
      </c>
      <c r="R81" s="104"/>
    </row>
    <row r="82" spans="1:18" ht="18.75">
      <c r="A82" s="70"/>
      <c r="B82" s="56" t="s">
        <v>113</v>
      </c>
      <c r="C82" s="57">
        <v>29999</v>
      </c>
      <c r="D82" s="60">
        <v>200000</v>
      </c>
      <c r="E82" s="60"/>
      <c r="F82" s="60"/>
      <c r="G82" s="60"/>
      <c r="H82" s="60">
        <v>100000</v>
      </c>
      <c r="I82" s="60">
        <f>SUM(D82:H82)</f>
        <v>300000</v>
      </c>
      <c r="J82" s="60">
        <v>0</v>
      </c>
      <c r="K82" s="60">
        <v>24416</v>
      </c>
      <c r="L82" s="60">
        <v>223584</v>
      </c>
      <c r="M82" s="60">
        <v>600103.02</v>
      </c>
      <c r="N82" s="60">
        <v>165000</v>
      </c>
      <c r="O82" s="60">
        <v>165000</v>
      </c>
      <c r="P82" s="60">
        <f t="shared" si="12"/>
        <v>52000</v>
      </c>
      <c r="Q82" s="61">
        <f t="shared" si="13"/>
        <v>74.528</v>
      </c>
      <c r="R82" s="104"/>
    </row>
    <row r="83" spans="1:18" ht="18.75">
      <c r="A83" s="69"/>
      <c r="B83" s="75" t="s">
        <v>114</v>
      </c>
      <c r="C83" s="76"/>
      <c r="D83" s="77">
        <f>SUM(D60:D82)</f>
        <v>46400000</v>
      </c>
      <c r="E83" s="77">
        <f>SUM(E60:E82)</f>
        <v>2100000</v>
      </c>
      <c r="F83" s="77">
        <f>SUM(F60:F82)</f>
        <v>0</v>
      </c>
      <c r="G83" s="77">
        <f>SUM(G60:G82)</f>
        <v>0</v>
      </c>
      <c r="H83" s="77">
        <f>SUM(H60:H82)</f>
        <v>2055000</v>
      </c>
      <c r="I83" s="77">
        <f aca="true" t="shared" si="14" ref="I83:P83">SUM(I60:I82)</f>
        <v>50555000</v>
      </c>
      <c r="J83" s="77">
        <f t="shared" si="14"/>
        <v>8403253.96</v>
      </c>
      <c r="K83" s="77">
        <f t="shared" si="14"/>
        <v>8647575.809999999</v>
      </c>
      <c r="L83" s="77">
        <f>SUM(L60:L82)</f>
        <v>32220205.689999998</v>
      </c>
      <c r="M83" s="77">
        <f t="shared" si="14"/>
        <v>2828104.25</v>
      </c>
      <c r="N83" s="77">
        <f t="shared" si="14"/>
        <v>34459590</v>
      </c>
      <c r="O83" s="77">
        <f t="shared" si="14"/>
        <v>19776040.63</v>
      </c>
      <c r="P83" s="77">
        <f t="shared" si="14"/>
        <v>1283964.54</v>
      </c>
      <c r="Q83" s="67">
        <f>+L83/I83*100</f>
        <v>63.732975353575306</v>
      </c>
      <c r="R83" s="104"/>
    </row>
    <row r="84" spans="1:18" ht="18.75">
      <c r="A84" s="69"/>
      <c r="B84" s="78" t="s">
        <v>115</v>
      </c>
      <c r="C84" s="57">
        <v>50102</v>
      </c>
      <c r="D84" s="60">
        <v>50000000</v>
      </c>
      <c r="E84" s="60">
        <v>5000000</v>
      </c>
      <c r="F84" s="60"/>
      <c r="G84" s="60"/>
      <c r="H84" s="60">
        <v>11000000</v>
      </c>
      <c r="I84" s="60">
        <f>SUM(D84:H84)</f>
        <v>66000000</v>
      </c>
      <c r="J84" s="60">
        <v>0</v>
      </c>
      <c r="K84" s="60">
        <f>15692516+50000000</f>
        <v>65692516</v>
      </c>
      <c r="L84" s="60"/>
      <c r="M84" s="60"/>
      <c r="N84" s="60"/>
      <c r="O84" s="60"/>
      <c r="P84" s="60">
        <f>+I84-J84-K84-L84</f>
        <v>307484</v>
      </c>
      <c r="Q84" s="61" t="s">
        <v>42</v>
      </c>
      <c r="R84" s="104"/>
    </row>
    <row r="85" spans="1:18" ht="16.5" customHeight="1">
      <c r="A85" s="69"/>
      <c r="B85" s="78" t="s">
        <v>116</v>
      </c>
      <c r="C85" s="57">
        <v>50103</v>
      </c>
      <c r="D85" s="60">
        <v>2000000</v>
      </c>
      <c r="E85" s="60">
        <v>500000</v>
      </c>
      <c r="F85" s="60">
        <v>500000</v>
      </c>
      <c r="G85" s="60"/>
      <c r="H85" s="60">
        <v>-400000</v>
      </c>
      <c r="I85" s="60">
        <f aca="true" t="shared" si="15" ref="I85:I92">SUM(D85:H85)</f>
        <v>2600000</v>
      </c>
      <c r="J85" s="60">
        <v>1400000</v>
      </c>
      <c r="K85" s="60">
        <v>0</v>
      </c>
      <c r="L85" s="60">
        <v>30500.21</v>
      </c>
      <c r="M85" s="60">
        <v>301341.48</v>
      </c>
      <c r="N85" s="60"/>
      <c r="O85" s="60"/>
      <c r="P85" s="60">
        <f aca="true" t="shared" si="16" ref="P85:P92">+I85-J85-K85-L85</f>
        <v>1169499.79</v>
      </c>
      <c r="Q85" s="61">
        <f>+L85/I85*100</f>
        <v>1.173085</v>
      </c>
      <c r="R85" s="104"/>
    </row>
    <row r="86" spans="1:18" ht="16.5" customHeight="1">
      <c r="A86" s="69"/>
      <c r="B86" s="78" t="s">
        <v>118</v>
      </c>
      <c r="C86" s="57">
        <v>50104</v>
      </c>
      <c r="D86" s="60">
        <v>25500000</v>
      </c>
      <c r="E86" s="60"/>
      <c r="F86" s="60">
        <v>1000000</v>
      </c>
      <c r="G86" s="60">
        <v>11500000</v>
      </c>
      <c r="H86" s="60"/>
      <c r="I86" s="60">
        <f t="shared" si="15"/>
        <v>38000000</v>
      </c>
      <c r="J86" s="60">
        <v>20334.63</v>
      </c>
      <c r="K86" s="60">
        <f>20500000+18563806.9</f>
        <v>39063806.9</v>
      </c>
      <c r="L86" s="60">
        <v>6915858.47</v>
      </c>
      <c r="M86" s="60">
        <v>88239.65</v>
      </c>
      <c r="N86" s="60"/>
      <c r="O86" s="60"/>
      <c r="P86" s="60">
        <f t="shared" si="16"/>
        <v>-8000000.000000001</v>
      </c>
      <c r="Q86" s="61">
        <f aca="true" t="shared" si="17" ref="Q86:Q92">+L86/I86*100</f>
        <v>18.19962755263158</v>
      </c>
      <c r="R86" s="104"/>
    </row>
    <row r="87" spans="1:18" ht="37.5">
      <c r="A87" s="79" t="s">
        <v>117</v>
      </c>
      <c r="B87" s="78" t="s">
        <v>119</v>
      </c>
      <c r="C87" s="57">
        <v>50105</v>
      </c>
      <c r="D87" s="60">
        <v>55200000</v>
      </c>
      <c r="E87" s="60"/>
      <c r="F87" s="60">
        <v>2000000</v>
      </c>
      <c r="G87" s="60">
        <v>49189534.15</v>
      </c>
      <c r="H87" s="60"/>
      <c r="I87" s="60">
        <f t="shared" si="15"/>
        <v>106389534.15</v>
      </c>
      <c r="J87" s="60">
        <f>1977159.82+1778525.72</f>
        <v>3755685.54</v>
      </c>
      <c r="K87" s="60">
        <f>37593076.98+45449890.06</f>
        <v>83042967.03999999</v>
      </c>
      <c r="L87" s="60">
        <f>3619297.2+7961955.26</f>
        <v>11581252.46</v>
      </c>
      <c r="M87" s="60">
        <v>519994.06</v>
      </c>
      <c r="N87" s="60">
        <v>15000000</v>
      </c>
      <c r="O87" s="60">
        <v>14900000</v>
      </c>
      <c r="P87" s="60">
        <f t="shared" si="16"/>
        <v>8009629.110000007</v>
      </c>
      <c r="Q87" s="61">
        <f t="shared" si="17"/>
        <v>10.885706524169416</v>
      </c>
      <c r="R87" s="104"/>
    </row>
    <row r="88" spans="1:18" ht="28.5" customHeight="1">
      <c r="A88" s="80"/>
      <c r="B88" s="78" t="s">
        <v>120</v>
      </c>
      <c r="C88" s="57">
        <v>50106</v>
      </c>
      <c r="D88" s="60">
        <v>500000</v>
      </c>
      <c r="E88" s="60"/>
      <c r="F88" s="60"/>
      <c r="G88" s="60"/>
      <c r="H88" s="60"/>
      <c r="I88" s="60">
        <f t="shared" si="15"/>
        <v>500000</v>
      </c>
      <c r="J88" s="60">
        <v>465500</v>
      </c>
      <c r="K88" s="60">
        <v>0</v>
      </c>
      <c r="L88" s="60">
        <v>0</v>
      </c>
      <c r="M88" s="60">
        <v>340990.7</v>
      </c>
      <c r="N88" s="60">
        <v>12000000</v>
      </c>
      <c r="O88" s="60">
        <v>11650000</v>
      </c>
      <c r="P88" s="60">
        <f t="shared" si="16"/>
        <v>34500</v>
      </c>
      <c r="Q88" s="61">
        <f t="shared" si="17"/>
        <v>0</v>
      </c>
      <c r="R88" s="104"/>
    </row>
    <row r="89" spans="1:18" ht="25.5" customHeight="1">
      <c r="A89" s="80"/>
      <c r="B89" s="78" t="s">
        <v>136</v>
      </c>
      <c r="C89" s="57">
        <v>50199</v>
      </c>
      <c r="D89" s="60">
        <v>3351000</v>
      </c>
      <c r="E89" s="60"/>
      <c r="F89" s="60"/>
      <c r="G89" s="60"/>
      <c r="H89" s="60">
        <v>-1000000</v>
      </c>
      <c r="I89" s="60">
        <f t="shared" si="15"/>
        <v>2351000</v>
      </c>
      <c r="J89" s="60">
        <v>42782</v>
      </c>
      <c r="K89" s="60">
        <v>317218</v>
      </c>
      <c r="L89" s="60">
        <v>823791.08</v>
      </c>
      <c r="M89" s="60">
        <v>432044.64</v>
      </c>
      <c r="N89" s="60"/>
      <c r="O89" s="60"/>
      <c r="P89" s="60">
        <f t="shared" si="16"/>
        <v>1167208.92</v>
      </c>
      <c r="Q89" s="61">
        <f t="shared" si="17"/>
        <v>35.04002892386218</v>
      </c>
      <c r="R89" s="104"/>
    </row>
    <row r="90" spans="1:18" ht="25.5" customHeight="1">
      <c r="A90" s="80"/>
      <c r="B90" s="78" t="s">
        <v>144</v>
      </c>
      <c r="C90" s="57">
        <v>50201</v>
      </c>
      <c r="D90" s="60">
        <v>30000000</v>
      </c>
      <c r="E90" s="60"/>
      <c r="F90" s="60"/>
      <c r="G90" s="60"/>
      <c r="H90" s="60">
        <v>-6009750</v>
      </c>
      <c r="I90" s="60">
        <f t="shared" si="15"/>
        <v>23990250</v>
      </c>
      <c r="J90" s="60">
        <v>169050</v>
      </c>
      <c r="K90" s="60">
        <v>23821200</v>
      </c>
      <c r="L90" s="60"/>
      <c r="M90" s="60"/>
      <c r="N90" s="60"/>
      <c r="O90" s="60"/>
      <c r="P90" s="60">
        <f t="shared" si="16"/>
        <v>0</v>
      </c>
      <c r="Q90" s="61">
        <f t="shared" si="17"/>
        <v>0</v>
      </c>
      <c r="R90" s="100"/>
    </row>
    <row r="91" spans="1:18" ht="25.5" customHeight="1">
      <c r="A91" s="80"/>
      <c r="B91" s="78" t="s">
        <v>312</v>
      </c>
      <c r="C91" s="57">
        <v>50207</v>
      </c>
      <c r="D91" s="60">
        <v>45000000</v>
      </c>
      <c r="E91" s="60"/>
      <c r="F91" s="60"/>
      <c r="G91" s="60"/>
      <c r="H91" s="60">
        <v>6009750</v>
      </c>
      <c r="I91" s="60">
        <f t="shared" si="15"/>
        <v>51009750</v>
      </c>
      <c r="J91" s="60">
        <v>7474573.04</v>
      </c>
      <c r="K91" s="60">
        <v>14486389.12</v>
      </c>
      <c r="L91" s="60">
        <v>28734976.84</v>
      </c>
      <c r="M91" s="60"/>
      <c r="N91" s="60"/>
      <c r="O91" s="60"/>
      <c r="P91" s="60">
        <f t="shared" si="16"/>
        <v>313811.0000000037</v>
      </c>
      <c r="Q91" s="61"/>
      <c r="R91" s="100"/>
    </row>
    <row r="92" spans="1:18" ht="29.25" customHeight="1">
      <c r="A92" s="81"/>
      <c r="B92" s="78" t="s">
        <v>121</v>
      </c>
      <c r="C92" s="57">
        <v>59903</v>
      </c>
      <c r="D92" s="60">
        <v>7000000</v>
      </c>
      <c r="E92" s="60"/>
      <c r="F92" s="60"/>
      <c r="G92" s="60"/>
      <c r="H92" s="60">
        <v>1400000</v>
      </c>
      <c r="I92" s="60">
        <f t="shared" si="15"/>
        <v>8400000</v>
      </c>
      <c r="J92" s="60">
        <v>0</v>
      </c>
      <c r="K92" s="60">
        <v>1447377.02</v>
      </c>
      <c r="L92" s="60">
        <v>6522909.94</v>
      </c>
      <c r="M92" s="60">
        <v>1000</v>
      </c>
      <c r="N92" s="60">
        <v>12000000</v>
      </c>
      <c r="O92" s="60">
        <v>12000000</v>
      </c>
      <c r="P92" s="60">
        <f t="shared" si="16"/>
        <v>429713.04000000004</v>
      </c>
      <c r="Q92" s="61">
        <f t="shared" si="17"/>
        <v>77.65368976190476</v>
      </c>
      <c r="R92" s="100" t="s">
        <v>42</v>
      </c>
    </row>
    <row r="93" spans="1:18" ht="18.75">
      <c r="A93" s="80"/>
      <c r="B93" s="82" t="s">
        <v>122</v>
      </c>
      <c r="C93" s="83"/>
      <c r="D93" s="84">
        <f>SUM(D84:D92)</f>
        <v>218551000</v>
      </c>
      <c r="E93" s="84">
        <f>SUM(E84:E92)</f>
        <v>5500000</v>
      </c>
      <c r="F93" s="84">
        <f>SUM(F84:F92)</f>
        <v>3500000</v>
      </c>
      <c r="G93" s="84">
        <f>SUM(G84:G92)</f>
        <v>60689534.15</v>
      </c>
      <c r="H93" s="84">
        <f>SUM(H84:H92)</f>
        <v>11000000</v>
      </c>
      <c r="I93" s="84">
        <f aca="true" t="shared" si="18" ref="I93:P93">SUM(I84:I92)</f>
        <v>299240534.15</v>
      </c>
      <c r="J93" s="84">
        <f t="shared" si="18"/>
        <v>13327925.21</v>
      </c>
      <c r="K93" s="84">
        <f t="shared" si="18"/>
        <v>227871474.08</v>
      </c>
      <c r="L93" s="84">
        <f t="shared" si="18"/>
        <v>54609289</v>
      </c>
      <c r="M93" s="84">
        <f t="shared" si="18"/>
        <v>1683610.5299999998</v>
      </c>
      <c r="N93" s="84">
        <f t="shared" si="18"/>
        <v>39000000</v>
      </c>
      <c r="O93" s="84">
        <f t="shared" si="18"/>
        <v>38550000</v>
      </c>
      <c r="P93" s="84">
        <f t="shared" si="18"/>
        <v>3431845.8600000096</v>
      </c>
      <c r="Q93" s="67">
        <f>+L93/I93*100</f>
        <v>18.24929538878114</v>
      </c>
      <c r="R93" s="102"/>
    </row>
    <row r="94" spans="1:18" ht="36">
      <c r="A94" s="79" t="s">
        <v>123</v>
      </c>
      <c r="B94" s="56" t="s">
        <v>124</v>
      </c>
      <c r="C94" s="57">
        <v>60103</v>
      </c>
      <c r="D94" s="60">
        <v>23133000</v>
      </c>
      <c r="E94" s="60"/>
      <c r="F94" s="60">
        <v>10000000</v>
      </c>
      <c r="G94" s="60">
        <v>10000000</v>
      </c>
      <c r="H94" s="60">
        <v>4000000</v>
      </c>
      <c r="I94" s="60">
        <f>SUM(D94:H94)</f>
        <v>47133000</v>
      </c>
      <c r="J94" s="60">
        <v>0</v>
      </c>
      <c r="K94" s="60">
        <v>5097113.88</v>
      </c>
      <c r="L94" s="60">
        <v>42035886.12</v>
      </c>
      <c r="M94" s="60">
        <v>0</v>
      </c>
      <c r="N94" s="60"/>
      <c r="O94" s="60"/>
      <c r="P94" s="60">
        <f>+I94-J94-K94-L94</f>
        <v>0</v>
      </c>
      <c r="Q94" s="61">
        <f>+L94/I94*100</f>
        <v>89.18567907835275</v>
      </c>
      <c r="R94" s="100" t="s">
        <v>42</v>
      </c>
    </row>
    <row r="95" spans="1:18" ht="36">
      <c r="A95" s="80"/>
      <c r="B95" s="56" t="s">
        <v>125</v>
      </c>
      <c r="C95" s="57">
        <v>60103</v>
      </c>
      <c r="D95" s="60">
        <v>9971000</v>
      </c>
      <c r="E95" s="60"/>
      <c r="F95" s="60"/>
      <c r="G95" s="60"/>
      <c r="H95" s="60"/>
      <c r="I95" s="60">
        <f aca="true" t="shared" si="19" ref="I95:I102">SUM(D95:H95)</f>
        <v>9971000</v>
      </c>
      <c r="J95" s="60">
        <v>0</v>
      </c>
      <c r="K95" s="60">
        <v>1686670.23</v>
      </c>
      <c r="L95" s="60">
        <v>8284329.77</v>
      </c>
      <c r="M95" s="60">
        <v>0</v>
      </c>
      <c r="N95" s="60"/>
      <c r="O95" s="60"/>
      <c r="P95" s="60">
        <f aca="true" t="shared" si="20" ref="P95:P102">+I95-J95-K95-L95</f>
        <v>0</v>
      </c>
      <c r="Q95" s="61">
        <f aca="true" t="shared" si="21" ref="Q95:Q102">+L95/I95*100</f>
        <v>83.08424200180524</v>
      </c>
      <c r="R95" s="102" t="s">
        <v>42</v>
      </c>
    </row>
    <row r="96" spans="1:18" ht="18.75">
      <c r="A96" s="80"/>
      <c r="B96" s="56" t="s">
        <v>126</v>
      </c>
      <c r="C96" s="57">
        <v>60103</v>
      </c>
      <c r="D96" s="60">
        <v>11589000</v>
      </c>
      <c r="E96" s="60"/>
      <c r="F96" s="60"/>
      <c r="G96" s="60"/>
      <c r="H96" s="60"/>
      <c r="I96" s="60">
        <f t="shared" si="19"/>
        <v>11589000</v>
      </c>
      <c r="J96" s="60">
        <v>0</v>
      </c>
      <c r="K96" s="60">
        <v>0</v>
      </c>
      <c r="L96" s="60">
        <v>11588669.93</v>
      </c>
      <c r="M96" s="60">
        <v>0</v>
      </c>
      <c r="N96" s="60"/>
      <c r="O96" s="60"/>
      <c r="P96" s="60">
        <f t="shared" si="20"/>
        <v>330.070000000298</v>
      </c>
      <c r="Q96" s="61">
        <f t="shared" si="21"/>
        <v>99.99715186815084</v>
      </c>
      <c r="R96" s="102" t="s">
        <v>42</v>
      </c>
    </row>
    <row r="97" spans="1:18" ht="18.75">
      <c r="A97" s="80"/>
      <c r="B97" s="56" t="s">
        <v>127</v>
      </c>
      <c r="C97" s="57">
        <v>60103</v>
      </c>
      <c r="D97" s="60">
        <v>5500000</v>
      </c>
      <c r="E97" s="60"/>
      <c r="F97" s="60"/>
      <c r="G97" s="60"/>
      <c r="H97" s="60"/>
      <c r="I97" s="60">
        <f t="shared" si="19"/>
        <v>5500000</v>
      </c>
      <c r="J97" s="60">
        <v>0</v>
      </c>
      <c r="K97" s="60">
        <v>5500000</v>
      </c>
      <c r="L97" s="60">
        <v>0</v>
      </c>
      <c r="M97" s="60">
        <v>0</v>
      </c>
      <c r="N97" s="60"/>
      <c r="O97" s="60"/>
      <c r="P97" s="60">
        <f t="shared" si="20"/>
        <v>0</v>
      </c>
      <c r="Q97" s="61">
        <f t="shared" si="21"/>
        <v>0</v>
      </c>
      <c r="R97" s="100" t="s">
        <v>42</v>
      </c>
    </row>
    <row r="98" spans="1:18" ht="18.75">
      <c r="A98" s="80"/>
      <c r="B98" s="56" t="s">
        <v>128</v>
      </c>
      <c r="C98" s="57">
        <v>60202</v>
      </c>
      <c r="D98" s="60">
        <v>500000</v>
      </c>
      <c r="E98" s="60"/>
      <c r="F98" s="60">
        <v>700000</v>
      </c>
      <c r="G98" s="60"/>
      <c r="H98" s="60">
        <v>1100000</v>
      </c>
      <c r="I98" s="60">
        <f t="shared" si="19"/>
        <v>2300000</v>
      </c>
      <c r="J98" s="60">
        <v>0</v>
      </c>
      <c r="K98" s="60">
        <v>679340</v>
      </c>
      <c r="L98" s="60">
        <v>520660</v>
      </c>
      <c r="M98" s="60">
        <v>0</v>
      </c>
      <c r="N98" s="60"/>
      <c r="O98" s="60"/>
      <c r="P98" s="60">
        <f t="shared" si="20"/>
        <v>1100000</v>
      </c>
      <c r="Q98" s="61">
        <f t="shared" si="21"/>
        <v>22.637391304347826</v>
      </c>
      <c r="R98" s="102" t="s">
        <v>42</v>
      </c>
    </row>
    <row r="99" spans="1:18" ht="18.75">
      <c r="A99" s="80"/>
      <c r="B99" s="56" t="s">
        <v>129</v>
      </c>
      <c r="C99" s="57">
        <v>60301</v>
      </c>
      <c r="D99" s="60">
        <v>18000000</v>
      </c>
      <c r="E99" s="60">
        <v>8276186.93</v>
      </c>
      <c r="F99" s="60"/>
      <c r="G99" s="60"/>
      <c r="H99" s="60">
        <v>23000000</v>
      </c>
      <c r="I99" s="60">
        <f t="shared" si="19"/>
        <v>49276186.93</v>
      </c>
      <c r="J99" s="60">
        <v>0</v>
      </c>
      <c r="K99" s="60">
        <v>0</v>
      </c>
      <c r="L99" s="60">
        <v>19740064.88</v>
      </c>
      <c r="M99" s="60">
        <v>4894116.39</v>
      </c>
      <c r="N99" s="60"/>
      <c r="O99" s="60"/>
      <c r="P99" s="60">
        <f t="shared" si="20"/>
        <v>29536122.05</v>
      </c>
      <c r="Q99" s="61">
        <f t="shared" si="21"/>
        <v>40.06004950838025</v>
      </c>
      <c r="R99" s="102" t="s">
        <v>42</v>
      </c>
    </row>
    <row r="100" spans="1:18" ht="18.75">
      <c r="A100" s="81"/>
      <c r="B100" s="56" t="s">
        <v>130</v>
      </c>
      <c r="C100" s="57">
        <v>60399</v>
      </c>
      <c r="D100" s="60">
        <v>17000000</v>
      </c>
      <c r="E100" s="60"/>
      <c r="F100" s="60"/>
      <c r="G100" s="60">
        <v>10000000</v>
      </c>
      <c r="H100" s="60"/>
      <c r="I100" s="60">
        <f t="shared" si="19"/>
        <v>27000000</v>
      </c>
      <c r="J100" s="60">
        <v>0</v>
      </c>
      <c r="K100" s="60">
        <v>5548518.15</v>
      </c>
      <c r="L100" s="60">
        <v>21451481.85</v>
      </c>
      <c r="M100" s="60">
        <v>0</v>
      </c>
      <c r="N100" s="60"/>
      <c r="O100" s="60"/>
      <c r="P100" s="60">
        <f t="shared" si="20"/>
        <v>0</v>
      </c>
      <c r="Q100" s="61">
        <f t="shared" si="21"/>
        <v>79.44993277777779</v>
      </c>
      <c r="R100" s="100" t="s">
        <v>42</v>
      </c>
    </row>
    <row r="101" spans="1:18" ht="18.75">
      <c r="A101" s="81"/>
      <c r="B101" s="56" t="s">
        <v>131</v>
      </c>
      <c r="C101" s="57">
        <v>60601</v>
      </c>
      <c r="D101" s="60">
        <v>500000</v>
      </c>
      <c r="E101" s="60"/>
      <c r="F101" s="60"/>
      <c r="G101" s="60"/>
      <c r="H101" s="60"/>
      <c r="I101" s="60">
        <f t="shared" si="19"/>
        <v>500000</v>
      </c>
      <c r="J101" s="60">
        <v>0</v>
      </c>
      <c r="K101" s="60">
        <v>0</v>
      </c>
      <c r="L101" s="60">
        <v>0</v>
      </c>
      <c r="M101" s="60">
        <v>1500000</v>
      </c>
      <c r="N101" s="60"/>
      <c r="O101" s="60"/>
      <c r="P101" s="60">
        <f t="shared" si="20"/>
        <v>500000</v>
      </c>
      <c r="Q101" s="61">
        <f t="shared" si="21"/>
        <v>0</v>
      </c>
      <c r="R101" s="100" t="s">
        <v>42</v>
      </c>
    </row>
    <row r="102" spans="1:18" ht="19.5" thickBot="1">
      <c r="A102" s="81"/>
      <c r="B102" s="56" t="s">
        <v>142</v>
      </c>
      <c r="C102" s="57">
        <v>60701</v>
      </c>
      <c r="D102" s="60">
        <v>3000000</v>
      </c>
      <c r="E102" s="60"/>
      <c r="F102" s="60"/>
      <c r="G102" s="60">
        <v>-189534.15</v>
      </c>
      <c r="H102" s="60"/>
      <c r="I102" s="60">
        <f t="shared" si="19"/>
        <v>2810465.85</v>
      </c>
      <c r="J102" s="60">
        <v>0</v>
      </c>
      <c r="K102" s="60"/>
      <c r="L102" s="60">
        <v>2810465.85</v>
      </c>
      <c r="M102" s="60"/>
      <c r="N102" s="60"/>
      <c r="O102" s="60"/>
      <c r="P102" s="60">
        <f t="shared" si="20"/>
        <v>0</v>
      </c>
      <c r="Q102" s="61">
        <f t="shared" si="21"/>
        <v>100</v>
      </c>
      <c r="R102" s="102" t="s">
        <v>42</v>
      </c>
    </row>
    <row r="103" spans="1:18" ht="19.5" thickBot="1">
      <c r="A103" s="81"/>
      <c r="B103" s="85" t="s">
        <v>132</v>
      </c>
      <c r="C103" s="86"/>
      <c r="D103" s="87">
        <f>SUM(D94:D102)</f>
        <v>89193000</v>
      </c>
      <c r="E103" s="87">
        <f>SUM(E94:E102)</f>
        <v>8276186.93</v>
      </c>
      <c r="F103" s="87">
        <f>SUM(F94:F102)</f>
        <v>10700000</v>
      </c>
      <c r="G103" s="87">
        <f>SUM(G94:G102)</f>
        <v>19810465.85</v>
      </c>
      <c r="H103" s="87">
        <f>SUM(H94:H102)</f>
        <v>28100000</v>
      </c>
      <c r="I103" s="87">
        <f aca="true" t="shared" si="22" ref="I103:P103">SUM(I94:I102)</f>
        <v>156079652.78</v>
      </c>
      <c r="J103" s="87">
        <f t="shared" si="22"/>
        <v>0</v>
      </c>
      <c r="K103" s="87">
        <f t="shared" si="22"/>
        <v>18511642.259999998</v>
      </c>
      <c r="L103" s="87">
        <f>SUM(L94:L102)</f>
        <v>106431558.4</v>
      </c>
      <c r="M103" s="87">
        <f t="shared" si="22"/>
        <v>6394116.39</v>
      </c>
      <c r="N103" s="87">
        <f t="shared" si="22"/>
        <v>0</v>
      </c>
      <c r="O103" s="87">
        <f t="shared" si="22"/>
        <v>0</v>
      </c>
      <c r="P103" s="87">
        <f t="shared" si="22"/>
        <v>31136452.12</v>
      </c>
      <c r="Q103" s="88">
        <f>+L103/I103*100</f>
        <v>68.19054021732043</v>
      </c>
      <c r="R103" s="100" t="s">
        <v>42</v>
      </c>
    </row>
    <row r="104" spans="1:18" ht="18.75">
      <c r="A104" s="81"/>
      <c r="B104" s="85"/>
      <c r="C104" s="86" t="s">
        <v>42</v>
      </c>
      <c r="D104" s="87"/>
      <c r="E104" s="87"/>
      <c r="F104" s="87"/>
      <c r="G104" s="87"/>
      <c r="H104" s="87" t="s">
        <v>42</v>
      </c>
      <c r="I104" s="87"/>
      <c r="J104" s="87"/>
      <c r="K104" s="87"/>
      <c r="L104" s="87"/>
      <c r="M104" s="87"/>
      <c r="N104" s="87"/>
      <c r="O104" s="87"/>
      <c r="P104" s="87"/>
      <c r="Q104" s="99"/>
      <c r="R104" s="100"/>
    </row>
    <row r="105" spans="1:18" ht="18">
      <c r="A105" s="89"/>
      <c r="B105" s="89"/>
      <c r="C105" s="57"/>
      <c r="D105" s="90">
        <f aca="true" t="shared" si="23" ref="D105:P105">+D103+D93+D83+D59+D20</f>
        <v>6134000000</v>
      </c>
      <c r="E105" s="90">
        <f>+E20+E59+E83+E93+E103</f>
        <v>0</v>
      </c>
      <c r="F105" s="90">
        <f>+F20+F59+F83+F93+F103</f>
        <v>0</v>
      </c>
      <c r="G105" s="90">
        <f>+G20+G59+G83+G93+G103</f>
        <v>0</v>
      </c>
      <c r="H105" s="90">
        <f>+H20+H59+H83+H93+H103</f>
        <v>0</v>
      </c>
      <c r="I105" s="90">
        <f t="shared" si="23"/>
        <v>6134000000</v>
      </c>
      <c r="J105" s="90">
        <f t="shared" si="23"/>
        <v>46858309.61</v>
      </c>
      <c r="K105" s="90">
        <f t="shared" si="23"/>
        <v>946017589.6300001</v>
      </c>
      <c r="L105" s="90">
        <f t="shared" si="23"/>
        <v>4582064423.41</v>
      </c>
      <c r="M105" s="90">
        <f t="shared" si="23"/>
        <v>1742582991.03</v>
      </c>
      <c r="N105" s="90">
        <f t="shared" si="23"/>
        <v>2030357470.3799999</v>
      </c>
      <c r="O105" s="90">
        <f t="shared" si="23"/>
        <v>2989452943.49</v>
      </c>
      <c r="P105" s="90">
        <f t="shared" si="23"/>
        <v>559059677.35</v>
      </c>
      <c r="Q105" s="91"/>
      <c r="R105" s="100" t="s">
        <v>42</v>
      </c>
    </row>
    <row r="106" spans="1:18" ht="18">
      <c r="A106" s="91"/>
      <c r="B106" s="91"/>
      <c r="C106" s="92"/>
      <c r="D106" s="91"/>
      <c r="E106" s="91"/>
      <c r="F106" s="91"/>
      <c r="G106" s="91"/>
      <c r="H106" s="91"/>
      <c r="I106" s="91"/>
      <c r="J106" s="71" t="s">
        <v>42</v>
      </c>
      <c r="K106" s="91"/>
      <c r="L106" s="59" t="s">
        <v>42</v>
      </c>
      <c r="M106" s="91"/>
      <c r="N106" s="91"/>
      <c r="O106" s="91"/>
      <c r="P106" s="91"/>
      <c r="Q106" s="91"/>
      <c r="R106" s="100" t="s">
        <v>42</v>
      </c>
    </row>
    <row r="107" spans="1:18" ht="18.75" thickBot="1">
      <c r="A107" s="91"/>
      <c r="B107" s="91"/>
      <c r="C107" s="92"/>
      <c r="D107" s="91"/>
      <c r="E107" s="91"/>
      <c r="F107" s="91"/>
      <c r="G107" s="91"/>
      <c r="H107" s="91"/>
      <c r="I107" s="61" t="s">
        <v>42</v>
      </c>
      <c r="J107" s="61" t="s">
        <v>42</v>
      </c>
      <c r="K107" s="91"/>
      <c r="L107" s="61" t="s">
        <v>42</v>
      </c>
      <c r="M107" s="91"/>
      <c r="N107" s="91"/>
      <c r="O107" s="91"/>
      <c r="P107" s="91"/>
      <c r="Q107" s="91" t="s">
        <v>42</v>
      </c>
      <c r="R107" s="100" t="s">
        <v>42</v>
      </c>
    </row>
    <row r="108" spans="1:18" ht="19.5" thickBot="1">
      <c r="A108" s="93" t="s">
        <v>12</v>
      </c>
      <c r="B108" s="91"/>
      <c r="C108" s="92"/>
      <c r="D108" s="61" t="s">
        <v>42</v>
      </c>
      <c r="E108" s="61"/>
      <c r="F108" s="61"/>
      <c r="G108" s="61"/>
      <c r="H108" s="61"/>
      <c r="I108" s="61"/>
      <c r="J108" s="91"/>
      <c r="K108" s="94">
        <f>+L105</f>
        <v>4582064423.41</v>
      </c>
      <c r="L108" s="61" t="s">
        <v>42</v>
      </c>
      <c r="M108" s="91"/>
      <c r="N108" s="91"/>
      <c r="O108" s="91"/>
      <c r="P108" s="91" t="s">
        <v>133</v>
      </c>
      <c r="Q108" s="95">
        <f>+K108/I105*100</f>
        <v>74.69945261509619</v>
      </c>
      <c r="R108" t="s">
        <v>42</v>
      </c>
    </row>
    <row r="109" spans="1:17" ht="18.75">
      <c r="A109" s="96"/>
      <c r="B109" s="96"/>
      <c r="C109" s="97"/>
      <c r="D109" s="96"/>
      <c r="E109" s="96"/>
      <c r="F109" s="96"/>
      <c r="G109" s="96"/>
      <c r="H109" s="96"/>
      <c r="I109" s="96"/>
      <c r="J109" s="96"/>
      <c r="K109" s="96"/>
      <c r="L109" s="98" t="s">
        <v>42</v>
      </c>
      <c r="M109" s="96"/>
      <c r="N109" s="96"/>
      <c r="O109" s="96"/>
      <c r="P109" s="96" t="s">
        <v>42</v>
      </c>
      <c r="Q109" s="96"/>
    </row>
    <row r="110" spans="1:17" ht="15.75">
      <c r="A110" s="47"/>
      <c r="B110" s="47"/>
      <c r="C110" s="51"/>
      <c r="D110" s="47"/>
      <c r="E110" s="47"/>
      <c r="F110" s="47"/>
      <c r="G110" s="47"/>
      <c r="H110" s="47"/>
      <c r="I110" s="48" t="s">
        <v>42</v>
      </c>
      <c r="J110" s="48" t="s">
        <v>42</v>
      </c>
      <c r="K110" s="47"/>
      <c r="L110" s="49" t="s">
        <v>42</v>
      </c>
      <c r="M110" s="47"/>
      <c r="N110" s="47"/>
      <c r="O110" s="47"/>
      <c r="P110" s="49" t="s">
        <v>42</v>
      </c>
      <c r="Q110" s="49" t="s">
        <v>42</v>
      </c>
    </row>
    <row r="111" spans="1:17" ht="23.25" customHeight="1">
      <c r="A111" s="47"/>
      <c r="B111" s="47"/>
      <c r="C111" s="51"/>
      <c r="D111" s="47"/>
      <c r="E111" s="47"/>
      <c r="F111" s="47"/>
      <c r="G111" s="47"/>
      <c r="H111" s="47"/>
      <c r="I111" s="47"/>
      <c r="J111" s="47" t="s">
        <v>42</v>
      </c>
      <c r="K111" s="48" t="s">
        <v>42</v>
      </c>
      <c r="L111" s="48" t="s">
        <v>42</v>
      </c>
      <c r="M111" s="47"/>
      <c r="N111" s="47"/>
      <c r="O111" s="47"/>
      <c r="P111" s="49" t="s">
        <v>42</v>
      </c>
      <c r="Q111" s="49" t="s">
        <v>42</v>
      </c>
    </row>
    <row r="112" spans="1:17" ht="15.75">
      <c r="A112" s="47"/>
      <c r="B112" s="47"/>
      <c r="C112" s="51"/>
      <c r="D112" s="48" t="s">
        <v>42</v>
      </c>
      <c r="E112" s="48" t="s">
        <v>42</v>
      </c>
      <c r="F112" s="48"/>
      <c r="G112" s="48"/>
      <c r="H112" s="48" t="s">
        <v>42</v>
      </c>
      <c r="I112" s="48" t="s">
        <v>42</v>
      </c>
      <c r="J112" s="48" t="s">
        <v>42</v>
      </c>
      <c r="K112" s="48" t="s">
        <v>42</v>
      </c>
      <c r="L112" s="48" t="s">
        <v>42</v>
      </c>
      <c r="M112" s="48">
        <v>450846273.2600001</v>
      </c>
      <c r="N112" s="47"/>
      <c r="O112" s="47"/>
      <c r="P112" s="49" t="s">
        <v>42</v>
      </c>
      <c r="Q112" s="48" t="s">
        <v>42</v>
      </c>
    </row>
    <row r="113" spans="1:17" ht="15.75">
      <c r="A113" s="47"/>
      <c r="B113" s="47"/>
      <c r="C113" s="51"/>
      <c r="D113" s="47"/>
      <c r="E113" s="47"/>
      <c r="F113" s="47"/>
      <c r="G113" s="47"/>
      <c r="H113" s="47"/>
      <c r="I113" s="47"/>
      <c r="J113" s="47" t="s">
        <v>42</v>
      </c>
      <c r="K113" s="49" t="s">
        <v>42</v>
      </c>
      <c r="L113" s="49" t="s">
        <v>42</v>
      </c>
      <c r="M113" s="47"/>
      <c r="N113" s="47"/>
      <c r="O113" s="47"/>
      <c r="P113" s="49" t="s">
        <v>42</v>
      </c>
      <c r="Q113" s="48" t="s">
        <v>42</v>
      </c>
    </row>
    <row r="114" spans="1:17" ht="15.75">
      <c r="A114" s="47"/>
      <c r="B114" s="47"/>
      <c r="C114" s="51"/>
      <c r="D114" s="47"/>
      <c r="E114" s="47"/>
      <c r="F114" s="47"/>
      <c r="G114" s="47"/>
      <c r="H114" s="47"/>
      <c r="I114" s="47"/>
      <c r="J114" s="47"/>
      <c r="K114" s="49" t="s">
        <v>42</v>
      </c>
      <c r="L114" s="49" t="s">
        <v>42</v>
      </c>
      <c r="M114" s="47"/>
      <c r="N114" s="47"/>
      <c r="O114" s="47"/>
      <c r="P114" s="49" t="s">
        <v>134</v>
      </c>
      <c r="Q114" s="48" t="s">
        <v>42</v>
      </c>
    </row>
    <row r="115" spans="1:17" ht="15.75">
      <c r="A115" s="47"/>
      <c r="B115" s="47"/>
      <c r="C115" s="51"/>
      <c r="D115" s="47"/>
      <c r="E115" s="47"/>
      <c r="F115" s="47"/>
      <c r="G115" s="47"/>
      <c r="H115" s="47"/>
      <c r="I115" s="47"/>
      <c r="J115" s="47"/>
      <c r="K115" s="49" t="s">
        <v>42</v>
      </c>
      <c r="L115" s="49"/>
      <c r="M115" s="47"/>
      <c r="N115" s="47"/>
      <c r="O115" s="47"/>
      <c r="P115" s="49" t="s">
        <v>42</v>
      </c>
      <c r="Q115" s="48" t="s">
        <v>42</v>
      </c>
    </row>
    <row r="116" spans="1:17" ht="15.75">
      <c r="A116" s="47"/>
      <c r="B116" s="47"/>
      <c r="C116" s="51"/>
      <c r="D116" s="47"/>
      <c r="E116" s="47"/>
      <c r="F116" s="47"/>
      <c r="G116" s="47"/>
      <c r="H116" s="47"/>
      <c r="I116" s="47"/>
      <c r="J116" s="47"/>
      <c r="K116" s="49" t="s">
        <v>42</v>
      </c>
      <c r="L116" s="49" t="s">
        <v>42</v>
      </c>
      <c r="M116" s="47"/>
      <c r="N116" s="47"/>
      <c r="O116" s="47"/>
      <c r="P116" s="49" t="s">
        <v>42</v>
      </c>
      <c r="Q116" s="49" t="s">
        <v>42</v>
      </c>
    </row>
    <row r="117" spans="1:17" ht="15.75">
      <c r="A117" s="47"/>
      <c r="B117" s="47"/>
      <c r="C117" s="51"/>
      <c r="D117" s="47"/>
      <c r="E117" s="47"/>
      <c r="F117" s="47"/>
      <c r="G117" s="47"/>
      <c r="H117" s="47"/>
      <c r="I117" s="47"/>
      <c r="J117" s="47"/>
      <c r="K117" s="50" t="s">
        <v>42</v>
      </c>
      <c r="L117" s="49" t="s">
        <v>42</v>
      </c>
      <c r="M117" s="47"/>
      <c r="N117" s="47"/>
      <c r="O117" s="47"/>
      <c r="P117" s="49" t="s">
        <v>42</v>
      </c>
      <c r="Q117" s="47" t="s">
        <v>42</v>
      </c>
    </row>
    <row r="118" spans="1:17" ht="15.75">
      <c r="A118" s="47"/>
      <c r="B118" s="47"/>
      <c r="C118" s="51"/>
      <c r="D118" s="47"/>
      <c r="E118" s="47"/>
      <c r="F118" s="47"/>
      <c r="G118" s="47"/>
      <c r="H118" s="47"/>
      <c r="I118" s="47"/>
      <c r="J118" s="47"/>
      <c r="K118" s="49" t="s">
        <v>42</v>
      </c>
      <c r="L118" s="49" t="s">
        <v>42</v>
      </c>
      <c r="M118" s="47"/>
      <c r="N118" s="47"/>
      <c r="O118" s="47"/>
      <c r="P118" s="49" t="s">
        <v>42</v>
      </c>
      <c r="Q118" s="47"/>
    </row>
    <row r="119" spans="1:17" ht="15.75">
      <c r="A119" s="47"/>
      <c r="B119" s="47"/>
      <c r="C119" s="51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9" t="s">
        <v>42</v>
      </c>
      <c r="Q119" s="47"/>
    </row>
    <row r="120" spans="1:17" ht="15.75">
      <c r="A120" s="47"/>
      <c r="B120" s="47"/>
      <c r="C120" s="51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9" t="s">
        <v>42</v>
      </c>
      <c r="Q120" s="47"/>
    </row>
    <row r="121" spans="1:17" ht="15.75">
      <c r="A121" s="47"/>
      <c r="B121" s="47"/>
      <c r="C121" s="51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9" t="s">
        <v>42</v>
      </c>
      <c r="Q121" s="47"/>
    </row>
    <row r="122" spans="1:17" ht="15.75">
      <c r="A122" s="47"/>
      <c r="B122" s="47"/>
      <c r="C122" s="51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9" t="s">
        <v>42</v>
      </c>
      <c r="Q122" s="47"/>
    </row>
    <row r="123" spans="1:17" ht="15.75">
      <c r="A123" s="47"/>
      <c r="B123" s="47"/>
      <c r="C123" s="51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9" t="s">
        <v>42</v>
      </c>
      <c r="Q123" s="47"/>
    </row>
    <row r="124" spans="1:17" ht="15.75">
      <c r="A124" s="47"/>
      <c r="B124" s="47"/>
      <c r="C124" s="51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9" t="s">
        <v>42</v>
      </c>
      <c r="Q124" s="47"/>
    </row>
    <row r="125" spans="1:17" ht="15.75">
      <c r="A125" s="47"/>
      <c r="B125" s="47"/>
      <c r="C125" s="51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9" t="s">
        <v>42</v>
      </c>
      <c r="Q125" s="47"/>
    </row>
    <row r="126" spans="1:17" ht="15.75">
      <c r="A126" s="47"/>
      <c r="B126" s="47"/>
      <c r="C126" s="51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9" t="s">
        <v>42</v>
      </c>
      <c r="Q126" s="47"/>
    </row>
    <row r="127" spans="1:17" ht="15.75">
      <c r="A127" s="47"/>
      <c r="B127" s="47"/>
      <c r="C127" s="51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9" t="s">
        <v>42</v>
      </c>
      <c r="Q127" s="47"/>
    </row>
    <row r="128" spans="1:17" ht="15.75">
      <c r="A128" s="47"/>
      <c r="B128" s="47"/>
      <c r="C128" s="51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1:17" ht="15.75">
      <c r="A129" s="47"/>
      <c r="B129" s="47"/>
      <c r="C129" s="51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1:17" ht="15.75">
      <c r="A130" s="47"/>
      <c r="B130" s="47"/>
      <c r="C130" s="51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1:17" ht="15.75">
      <c r="A131" s="47"/>
      <c r="B131" s="47"/>
      <c r="C131" s="51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1:17" ht="15.75">
      <c r="A132" s="47"/>
      <c r="B132" s="47"/>
      <c r="C132" s="51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1:17" ht="15.75">
      <c r="A133" s="47"/>
      <c r="B133" s="47"/>
      <c r="C133" s="51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1:17" ht="15.75">
      <c r="A134" s="47"/>
      <c r="B134" s="47"/>
      <c r="C134" s="51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1:17" ht="15.75">
      <c r="A135" s="47"/>
      <c r="B135" s="47"/>
      <c r="C135" s="51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1:17" ht="15.75">
      <c r="A136" s="47"/>
      <c r="B136" s="47"/>
      <c r="C136" s="51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1:17" ht="15.75">
      <c r="A137" s="47"/>
      <c r="B137" s="47"/>
      <c r="C137" s="51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1:17" ht="15.75">
      <c r="A138" s="47"/>
      <c r="B138" s="47"/>
      <c r="C138" s="51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1:17" ht="15.75">
      <c r="A139" s="47"/>
      <c r="B139" s="47"/>
      <c r="C139" s="51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1:17" ht="15.75">
      <c r="A140" s="47"/>
      <c r="B140" s="47"/>
      <c r="C140" s="51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1:17" ht="15.75">
      <c r="A141" s="47"/>
      <c r="B141" s="47"/>
      <c r="C141" s="51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1:17" ht="15.75">
      <c r="A142" s="47"/>
      <c r="B142" s="47"/>
      <c r="C142" s="51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1:17" ht="15.75">
      <c r="A143" s="47"/>
      <c r="B143" s="47"/>
      <c r="C143" s="51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1:17" ht="15.75">
      <c r="A144" s="47"/>
      <c r="B144" s="47"/>
      <c r="C144" s="51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1:17" ht="15.75">
      <c r="A145" s="47"/>
      <c r="B145" s="47"/>
      <c r="C145" s="51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1:17" ht="15.75">
      <c r="A146" s="47"/>
      <c r="B146" s="47"/>
      <c r="C146" s="51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1:17" ht="15.75">
      <c r="A147" s="47"/>
      <c r="B147" s="47"/>
      <c r="C147" s="51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1:17" ht="15.75">
      <c r="A148" s="47"/>
      <c r="B148" s="47"/>
      <c r="C148" s="51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1:17" ht="15.75">
      <c r="A149" s="47"/>
      <c r="B149" s="47"/>
      <c r="C149" s="51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1:17" ht="15.75">
      <c r="A150" s="47"/>
      <c r="B150" s="47"/>
      <c r="C150" s="51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1:17" ht="15.75">
      <c r="A151" s="47"/>
      <c r="B151" s="47"/>
      <c r="C151" s="51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1:17" ht="15.75">
      <c r="A152" s="47"/>
      <c r="B152" s="47"/>
      <c r="C152" s="51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1:17" ht="15.75">
      <c r="A153" s="47"/>
      <c r="B153" s="47"/>
      <c r="C153" s="51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1:17" ht="15.75">
      <c r="A154" s="47"/>
      <c r="B154" s="47"/>
      <c r="C154" s="51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1:17" ht="15.75">
      <c r="A155" s="47"/>
      <c r="B155" s="47"/>
      <c r="C155" s="51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1:17" ht="15.75">
      <c r="A156" s="47"/>
      <c r="B156" s="47"/>
      <c r="C156" s="51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1:17" ht="15.75">
      <c r="A157" s="47"/>
      <c r="B157" s="47"/>
      <c r="C157" s="51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1:17" ht="15.75">
      <c r="A158" s="47"/>
      <c r="B158" s="47"/>
      <c r="C158" s="51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1:17" ht="15.75">
      <c r="A159" s="47"/>
      <c r="B159" s="47"/>
      <c r="C159" s="51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1:17" ht="15.75">
      <c r="A160" s="47"/>
      <c r="B160" s="47"/>
      <c r="C160" s="51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1:17" ht="15.75">
      <c r="A161" s="47"/>
      <c r="B161" s="47"/>
      <c r="C161" s="51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1:17" ht="15.75">
      <c r="A162" s="47"/>
      <c r="B162" s="47"/>
      <c r="C162" s="51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1:17" ht="15.75">
      <c r="A163" s="47"/>
      <c r="B163" s="47"/>
      <c r="C163" s="51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1:17" ht="15.75">
      <c r="A164" s="47"/>
      <c r="B164" s="47"/>
      <c r="C164" s="51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1:17" ht="15.75">
      <c r="A165" s="47"/>
      <c r="B165" s="47"/>
      <c r="C165" s="51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1:17" ht="15.75">
      <c r="A166" s="47"/>
      <c r="B166" s="47"/>
      <c r="C166" s="51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1:17" ht="15.75">
      <c r="A167" s="47"/>
      <c r="B167" s="47"/>
      <c r="C167" s="51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1:17" ht="15.75">
      <c r="A168" s="47"/>
      <c r="B168" s="47"/>
      <c r="C168" s="51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1:17" ht="15.75">
      <c r="A169" s="47"/>
      <c r="B169" s="47"/>
      <c r="C169" s="51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1:17" ht="15.75">
      <c r="A170" s="47"/>
      <c r="B170" s="47"/>
      <c r="C170" s="51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1:17" ht="15.75">
      <c r="A171" s="47"/>
      <c r="B171" s="47"/>
      <c r="C171" s="51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1:17" ht="15.75">
      <c r="A172" s="47"/>
      <c r="B172" s="47"/>
      <c r="C172" s="51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1:17" ht="15.75">
      <c r="A173" s="47"/>
      <c r="B173" s="47"/>
      <c r="C173" s="51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1:17" ht="15.75">
      <c r="A174" s="47"/>
      <c r="B174" s="47"/>
      <c r="C174" s="51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1:17" ht="15.75">
      <c r="A175" s="47"/>
      <c r="B175" s="47"/>
      <c r="C175" s="51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1:17" ht="15.75">
      <c r="A176" s="47"/>
      <c r="B176" s="47"/>
      <c r="C176" s="51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1:17" ht="15.75">
      <c r="A177" s="47"/>
      <c r="B177" s="47"/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1:17" ht="15.75">
      <c r="A178" s="47"/>
      <c r="B178" s="47"/>
      <c r="C178" s="51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1:17" ht="15.75">
      <c r="A179" s="47"/>
      <c r="B179" s="47"/>
      <c r="C179" s="51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1:17" ht="15.75">
      <c r="A180" s="47"/>
      <c r="B180" s="47"/>
      <c r="C180" s="51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1:17" ht="15.75">
      <c r="A181" s="47"/>
      <c r="B181" s="47"/>
      <c r="C181" s="51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1:17" ht="15.75">
      <c r="A182" s="47"/>
      <c r="B182" s="47"/>
      <c r="C182" s="51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1:17" ht="15.75">
      <c r="A183" s="47"/>
      <c r="B183" s="47"/>
      <c r="C183" s="51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1:17" ht="15.75">
      <c r="A184" s="47"/>
      <c r="B184" s="47"/>
      <c r="C184" s="51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1:17" ht="15.75">
      <c r="A185" s="47"/>
      <c r="B185" s="47"/>
      <c r="C185" s="51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1:17" ht="15.75">
      <c r="A186" s="47"/>
      <c r="B186" s="47"/>
      <c r="C186" s="51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</row>
  </sheetData>
  <sheetProtection/>
  <printOptions/>
  <pageMargins left="1.08" right="0.31496062992125984" top="0.35433070866141736" bottom="0.35433070866141736" header="0.31" footer="0.11811023622047245"/>
  <pageSetup horizontalDpi="360" verticalDpi="36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Q160"/>
  <sheetViews>
    <sheetView zoomScalePageLayoutView="0" workbookViewId="0" topLeftCell="A1">
      <selection activeCell="K156" sqref="K156"/>
    </sheetView>
  </sheetViews>
  <sheetFormatPr defaultColWidth="11.421875" defaultRowHeight="15"/>
  <cols>
    <col min="2" max="2" width="68.00390625" style="0" customWidth="1"/>
    <col min="3" max="3" width="18.140625" style="0" customWidth="1"/>
    <col min="4" max="4" width="13.8515625" style="4" customWidth="1"/>
    <col min="5" max="5" width="15.8515625" style="0" customWidth="1"/>
    <col min="7" max="7" width="13.57421875" style="0" customWidth="1"/>
    <col min="10" max="10" width="11.7109375" style="0" customWidth="1"/>
    <col min="11" max="11" width="13.00390625" style="0" customWidth="1"/>
    <col min="12" max="12" width="12.140625" style="0" customWidth="1"/>
    <col min="13" max="13" width="13.140625" style="0" customWidth="1"/>
    <col min="14" max="14" width="15.00390625" style="0" customWidth="1"/>
    <col min="16" max="16" width="15.140625" style="0" customWidth="1"/>
    <col min="17" max="17" width="13.140625" style="0" customWidth="1"/>
  </cols>
  <sheetData>
    <row r="1" spans="1:16" ht="23.25">
      <c r="A1" s="5" t="s">
        <v>310</v>
      </c>
      <c r="C1" s="6"/>
      <c r="D1" s="4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6" ht="23.25">
      <c r="B2" s="5"/>
      <c r="C2" s="8"/>
      <c r="D2" s="4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">
      <c r="A3" s="9"/>
      <c r="B3" s="9"/>
      <c r="C3" s="9"/>
      <c r="D3" s="43" t="s">
        <v>145</v>
      </c>
      <c r="E3" s="10" t="s">
        <v>146</v>
      </c>
      <c r="F3" s="11" t="s">
        <v>147</v>
      </c>
      <c r="G3" s="12" t="s">
        <v>148</v>
      </c>
      <c r="H3" s="13" t="s">
        <v>149</v>
      </c>
      <c r="I3" s="14" t="s">
        <v>150</v>
      </c>
      <c r="J3" s="15" t="s">
        <v>151</v>
      </c>
      <c r="K3" s="10" t="s">
        <v>152</v>
      </c>
      <c r="L3" s="12" t="s">
        <v>153</v>
      </c>
      <c r="M3" s="16" t="s">
        <v>154</v>
      </c>
      <c r="N3" s="17" t="s">
        <v>155</v>
      </c>
      <c r="O3" s="18" t="s">
        <v>156</v>
      </c>
      <c r="P3" s="7"/>
    </row>
    <row r="4" spans="1:16" ht="15">
      <c r="A4" s="19" t="s">
        <v>157</v>
      </c>
      <c r="B4" s="20" t="s">
        <v>158</v>
      </c>
      <c r="C4" s="21">
        <f>SUM(C5:C29)</f>
        <v>5216506000</v>
      </c>
      <c r="D4" s="4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">
      <c r="A5" s="22" t="s">
        <v>159</v>
      </c>
      <c r="B5" s="23" t="s">
        <v>160</v>
      </c>
      <c r="C5" s="24" t="s">
        <v>42</v>
      </c>
      <c r="D5" s="4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f>SUM(D5:O5)</f>
        <v>0</v>
      </c>
    </row>
    <row r="6" spans="1:16" ht="15">
      <c r="A6" s="25">
        <v>101</v>
      </c>
      <c r="B6" s="26" t="s">
        <v>161</v>
      </c>
      <c r="C6" s="24">
        <v>1507677000</v>
      </c>
      <c r="D6" s="44">
        <f>55951503.5+55862856.82</f>
        <v>111814360.32</v>
      </c>
      <c r="E6" s="7">
        <v>112844603.67</v>
      </c>
      <c r="F6" s="7">
        <f>55850906.83+56058858.51</f>
        <v>111909765.34</v>
      </c>
      <c r="G6" s="7">
        <f>55405646.83+55353535.18</f>
        <v>110759182.00999999</v>
      </c>
      <c r="H6" s="7">
        <f>55065385.17+55241883.49</f>
        <v>110307268.66</v>
      </c>
      <c r="I6" s="7">
        <f>59945873.33+56282104.99</f>
        <v>116227978.32</v>
      </c>
      <c r="J6" s="7">
        <f>55800248.32+56028879.99</f>
        <v>111829128.31</v>
      </c>
      <c r="K6" s="7">
        <f>56215343.34+54733895</f>
        <v>110949238.34</v>
      </c>
      <c r="L6" s="7">
        <f>55088913.34+55463536.66</f>
        <v>110552450</v>
      </c>
      <c r="M6" s="7">
        <f>55010206.67+58848315.02</f>
        <v>113858521.69</v>
      </c>
      <c r="N6" s="7">
        <f>56226955.83+56510093.83</f>
        <v>112737049.66</v>
      </c>
      <c r="O6" s="7"/>
      <c r="P6" s="7">
        <f aca="true" t="shared" si="0" ref="P6:P69">SUM(D6:O6)</f>
        <v>1233789546.32</v>
      </c>
    </row>
    <row r="7" spans="1:16" ht="15">
      <c r="A7" s="25">
        <v>103</v>
      </c>
      <c r="B7" s="26" t="s">
        <v>162</v>
      </c>
      <c r="C7" s="24">
        <v>0</v>
      </c>
      <c r="D7" s="4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0</v>
      </c>
    </row>
    <row r="8" spans="1:16" ht="15">
      <c r="A8" s="25">
        <v>105</v>
      </c>
      <c r="B8" s="26" t="s">
        <v>163</v>
      </c>
      <c r="C8" s="24">
        <v>4000000</v>
      </c>
      <c r="D8" s="4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0</v>
      </c>
    </row>
    <row r="9" spans="1:16" ht="15">
      <c r="A9" s="22" t="s">
        <v>164</v>
      </c>
      <c r="B9" s="23" t="s">
        <v>165</v>
      </c>
      <c r="C9" s="24"/>
      <c r="D9" s="4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0</v>
      </c>
    </row>
    <row r="10" spans="1:16" ht="15">
      <c r="A10" s="25">
        <v>201</v>
      </c>
      <c r="B10" s="26" t="s">
        <v>166</v>
      </c>
      <c r="C10" s="24">
        <v>8000000</v>
      </c>
      <c r="D10" s="44">
        <v>291380.3</v>
      </c>
      <c r="E10" s="7">
        <v>1010264.7</v>
      </c>
      <c r="F10" s="7">
        <f>1151200.42+98066.7</f>
        <v>1249267.1199999999</v>
      </c>
      <c r="G10" s="7">
        <v>1388718.89</v>
      </c>
      <c r="H10" s="7">
        <v>1092119.67</v>
      </c>
      <c r="I10" s="7">
        <v>1759238.58</v>
      </c>
      <c r="J10" s="7">
        <f>1050794.17+303129.2</f>
        <v>1353923.3699999999</v>
      </c>
      <c r="K10" s="7">
        <v>1289915.73</v>
      </c>
      <c r="L10" s="7">
        <v>1233583.08</v>
      </c>
      <c r="M10" s="7">
        <f>1331588.56+23859.92+41869.97</f>
        <v>1397318.45</v>
      </c>
      <c r="N10" s="7">
        <v>1761588.51</v>
      </c>
      <c r="O10" s="7"/>
      <c r="P10" s="7">
        <f t="shared" si="0"/>
        <v>13827318.399999999</v>
      </c>
    </row>
    <row r="11" spans="1:16" ht="15">
      <c r="A11" s="25">
        <v>202</v>
      </c>
      <c r="B11" s="26" t="s">
        <v>167</v>
      </c>
      <c r="C11" s="24">
        <v>1000000</v>
      </c>
      <c r="D11" s="4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0</v>
      </c>
    </row>
    <row r="12" spans="1:16" ht="15">
      <c r="A12" s="25">
        <v>203</v>
      </c>
      <c r="B12" s="26" t="s">
        <v>168</v>
      </c>
      <c r="C12" s="24">
        <f>100000-100000</f>
        <v>0</v>
      </c>
      <c r="D12" s="44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f t="shared" si="0"/>
        <v>0</v>
      </c>
    </row>
    <row r="13" spans="1:16" ht="15">
      <c r="A13" s="22" t="s">
        <v>169</v>
      </c>
      <c r="B13" s="23" t="s">
        <v>170</v>
      </c>
      <c r="C13" s="24"/>
      <c r="D13" s="44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f t="shared" si="0"/>
        <v>0</v>
      </c>
    </row>
    <row r="14" spans="1:16" ht="15">
      <c r="A14" s="25">
        <v>301</v>
      </c>
      <c r="B14" s="26" t="s">
        <v>171</v>
      </c>
      <c r="C14" s="24">
        <v>926924000</v>
      </c>
      <c r="D14" s="44">
        <f>35127020.67+35161490.83</f>
        <v>70288511.5</v>
      </c>
      <c r="E14" s="7">
        <v>71565178</v>
      </c>
      <c r="F14" s="7">
        <f>35293215.67+35570065.67</f>
        <v>70863281.34</v>
      </c>
      <c r="G14" s="7">
        <f>35617547.34+35389464</f>
        <v>71007011.34</v>
      </c>
      <c r="H14" s="7">
        <f>35328702.34+35494680.67</f>
        <v>70823383.01</v>
      </c>
      <c r="I14" s="7">
        <f>38856339.66+36538483.33</f>
        <v>75394822.99</v>
      </c>
      <c r="J14" s="7">
        <f>36450248.33+36572771.66</f>
        <v>73023019.99</v>
      </c>
      <c r="K14" s="7">
        <f>36741806.67+35635393.34</f>
        <v>72377200.01</v>
      </c>
      <c r="L14" s="7">
        <f>36079916.67+36390156.67</f>
        <v>72470073.34</v>
      </c>
      <c r="M14" s="7">
        <f>36515168.33+38979871.32</f>
        <v>75495039.65</v>
      </c>
      <c r="N14" s="7">
        <f>37436809.33+37571111</f>
        <v>75007920.33</v>
      </c>
      <c r="O14" s="7"/>
      <c r="P14" s="7">
        <f t="shared" si="0"/>
        <v>798315441.5000001</v>
      </c>
    </row>
    <row r="15" spans="1:16" ht="15">
      <c r="A15" s="25">
        <v>302</v>
      </c>
      <c r="B15" s="26" t="s">
        <v>172</v>
      </c>
      <c r="C15" s="24">
        <v>829336000</v>
      </c>
      <c r="D15" s="44">
        <f>30021993.75+29964373.41</f>
        <v>59986367.16</v>
      </c>
      <c r="E15" s="7">
        <v>60519481.59</v>
      </c>
      <c r="F15" s="7">
        <f>30014592.42+30113222.49</f>
        <v>60127814.91</v>
      </c>
      <c r="G15" s="7">
        <f>29841482.25+29778887.24</f>
        <v>59620369.489999995</v>
      </c>
      <c r="H15" s="7">
        <f>29542031.83+29970871.5</f>
        <v>59512903.33</v>
      </c>
      <c r="I15" s="7">
        <f>32420029.58+30418870.42</f>
        <v>62838900</v>
      </c>
      <c r="J15" s="7">
        <f>30150464.84+30252235.34</f>
        <v>60402700.18</v>
      </c>
      <c r="K15" s="7">
        <f>30372229.67+29807647.35</f>
        <v>60179877.02</v>
      </c>
      <c r="L15" s="7">
        <f>30032135.58+30089064.76</f>
        <v>60121200.34</v>
      </c>
      <c r="M15" s="7">
        <f>29842239.16+31853833.74</f>
        <v>61696072.9</v>
      </c>
      <c r="N15" s="7">
        <f>30325912.5+30386192.17</f>
        <v>60712104.67</v>
      </c>
      <c r="O15" s="7"/>
      <c r="P15" s="7">
        <f t="shared" si="0"/>
        <v>665717791.5899999</v>
      </c>
    </row>
    <row r="16" spans="1:16" ht="15">
      <c r="A16" s="25">
        <v>303</v>
      </c>
      <c r="B16" s="26" t="s">
        <v>173</v>
      </c>
      <c r="C16" s="24">
        <v>332100000</v>
      </c>
      <c r="D16" s="44"/>
      <c r="E16" s="7">
        <v>323331.03</v>
      </c>
      <c r="F16" s="7">
        <v>0</v>
      </c>
      <c r="G16" s="7"/>
      <c r="H16" s="7"/>
      <c r="I16" s="7"/>
      <c r="J16" s="7"/>
      <c r="K16" s="7"/>
      <c r="L16" s="7"/>
      <c r="M16" s="7"/>
      <c r="N16" s="7"/>
      <c r="O16" s="7"/>
      <c r="P16" s="7">
        <f t="shared" si="0"/>
        <v>323331.03</v>
      </c>
    </row>
    <row r="17" spans="1:16" ht="15">
      <c r="A17" s="25">
        <v>304</v>
      </c>
      <c r="B17" s="26" t="s">
        <v>174</v>
      </c>
      <c r="C17" s="24">
        <v>284400000</v>
      </c>
      <c r="D17" s="44">
        <v>271704364</v>
      </c>
      <c r="E17" s="9">
        <v>319449.53</v>
      </c>
      <c r="F17" s="7">
        <v>0</v>
      </c>
      <c r="G17" s="7"/>
      <c r="H17" s="7"/>
      <c r="I17" s="7"/>
      <c r="J17" s="7"/>
      <c r="K17" s="7"/>
      <c r="L17" s="7"/>
      <c r="M17" s="7"/>
      <c r="N17" s="7"/>
      <c r="O17" s="7"/>
      <c r="P17" s="7">
        <f t="shared" si="0"/>
        <v>272023813.53</v>
      </c>
    </row>
    <row r="18" spans="1:16" ht="15">
      <c r="A18" s="25">
        <v>399</v>
      </c>
      <c r="B18" s="26" t="s">
        <v>175</v>
      </c>
      <c r="C18" s="24">
        <v>427103000</v>
      </c>
      <c r="D18" s="44">
        <f>7013970.25+227441+7999742.1+7001761.98+8000621.7+227441</f>
        <v>30470978.029999997</v>
      </c>
      <c r="E18" s="7">
        <v>30530860.88</v>
      </c>
      <c r="F18" s="7">
        <f>7964961.25+7023533.4+227441+7978223.81+7036460.26+227441</f>
        <v>30458060.72</v>
      </c>
      <c r="G18" s="7">
        <f>6969523.45+227441+8220407.93+6947754.01+227441+7998942.68</f>
        <v>30591510.07</v>
      </c>
      <c r="H18" s="7">
        <f>227441+8006114.35+6909521.17+8143684.09+227441+6971729.95</f>
        <v>30485931.56</v>
      </c>
      <c r="I18" s="7">
        <f>8847213.75+246471+7371451.65+8306602.13+229171+7081887.76</f>
        <v>32082797.29</v>
      </c>
      <c r="J18" s="7">
        <f>8271737.06+229171+7022697.63+8266861.87+7050443.5+229171</f>
        <v>31070082.06</v>
      </c>
      <c r="K18" s="7">
        <f>8345197.21+229171+7080479.73+8161971.2+229171+6929151.72</f>
        <v>30975141.86</v>
      </c>
      <c r="L18" s="7">
        <f>8285993.34+229171+6973622.4+8252679.47+229171+6996163.88</f>
        <v>30966801.09</v>
      </c>
      <c r="M18" s="7">
        <f>8251167.86+229511.9+6939135.62+8950568.37+243300.5+7409018.52</f>
        <v>32022702.77</v>
      </c>
      <c r="N18" s="7">
        <f>8475380.6+231152+7071904.55+8416446.6+231152+7091309.08</f>
        <v>31517344.83</v>
      </c>
      <c r="O18" s="7"/>
      <c r="P18" s="7">
        <f t="shared" si="0"/>
        <v>341172211.1599999</v>
      </c>
    </row>
    <row r="19" spans="1:16" ht="15">
      <c r="A19" s="22" t="s">
        <v>176</v>
      </c>
      <c r="B19" s="23" t="s">
        <v>177</v>
      </c>
      <c r="C19" s="24"/>
      <c r="D19" s="4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f t="shared" si="0"/>
        <v>0</v>
      </c>
    </row>
    <row r="20" spans="1:16" ht="15">
      <c r="A20" s="25">
        <v>401</v>
      </c>
      <c r="B20" s="26" t="s">
        <v>178</v>
      </c>
      <c r="C20" s="24">
        <v>368931000</v>
      </c>
      <c r="D20" s="44">
        <v>25404840</v>
      </c>
      <c r="E20" s="7">
        <v>50371426</v>
      </c>
      <c r="F20" s="7">
        <v>25214472</v>
      </c>
      <c r="G20" s="7">
        <v>25401260</v>
      </c>
      <c r="H20" s="7">
        <v>25286431</v>
      </c>
      <c r="I20" s="7">
        <v>25180499</v>
      </c>
      <c r="J20" s="7">
        <v>26684348</v>
      </c>
      <c r="K20" s="7">
        <v>25685296</v>
      </c>
      <c r="L20" s="7">
        <v>25508853</v>
      </c>
      <c r="M20" s="7">
        <v>25469332</v>
      </c>
      <c r="N20" s="7">
        <v>26313444</v>
      </c>
      <c r="O20" s="7"/>
      <c r="P20" s="7">
        <f t="shared" si="0"/>
        <v>306520201</v>
      </c>
    </row>
    <row r="21" spans="1:16" ht="15">
      <c r="A21" s="25">
        <v>402</v>
      </c>
      <c r="B21" s="26" t="s">
        <v>179</v>
      </c>
      <c r="C21" s="24">
        <v>0</v>
      </c>
      <c r="D21" s="4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f t="shared" si="0"/>
        <v>0</v>
      </c>
    </row>
    <row r="22" spans="1:16" ht="15">
      <c r="A22" s="25">
        <v>405</v>
      </c>
      <c r="B22" s="26" t="s">
        <v>180</v>
      </c>
      <c r="C22" s="24">
        <v>19942000</v>
      </c>
      <c r="D22" s="44">
        <v>1373239</v>
      </c>
      <c r="E22" s="7">
        <v>2722784</v>
      </c>
      <c r="F22" s="7">
        <v>1362945</v>
      </c>
      <c r="G22" s="7">
        <v>1373043</v>
      </c>
      <c r="H22" s="7">
        <v>1366836</v>
      </c>
      <c r="I22" s="7">
        <v>1361107</v>
      </c>
      <c r="J22" s="7">
        <v>1442399</v>
      </c>
      <c r="K22" s="7">
        <v>1388383</v>
      </c>
      <c r="L22" s="7">
        <v>1378847</v>
      </c>
      <c r="M22" s="7">
        <v>1376717</v>
      </c>
      <c r="N22" s="7">
        <v>1422358</v>
      </c>
      <c r="O22" s="7"/>
      <c r="P22" s="7">
        <f t="shared" si="0"/>
        <v>16568658</v>
      </c>
    </row>
    <row r="23" spans="1:16" ht="15">
      <c r="A23" s="22" t="s">
        <v>181</v>
      </c>
      <c r="B23" s="23" t="s">
        <v>182</v>
      </c>
      <c r="C23" s="24"/>
      <c r="D23" s="4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f t="shared" si="0"/>
        <v>0</v>
      </c>
    </row>
    <row r="24" spans="1:16" ht="15">
      <c r="A24" s="25">
        <v>501</v>
      </c>
      <c r="B24" s="26" t="s">
        <v>305</v>
      </c>
      <c r="C24" s="24">
        <v>202613000</v>
      </c>
      <c r="D24" s="44">
        <v>13829287</v>
      </c>
      <c r="E24" s="7">
        <v>27419932</v>
      </c>
      <c r="F24" s="7">
        <v>13724785</v>
      </c>
      <c r="G24" s="7">
        <v>13827367</v>
      </c>
      <c r="H24" s="7">
        <v>13763090</v>
      </c>
      <c r="I24" s="7">
        <v>13704913</v>
      </c>
      <c r="J24" s="7">
        <v>14544425</v>
      </c>
      <c r="K24" s="7">
        <v>13981160</v>
      </c>
      <c r="L24" s="7">
        <v>13894827</v>
      </c>
      <c r="M24" s="7">
        <v>13865383</v>
      </c>
      <c r="N24" s="7">
        <v>14348057</v>
      </c>
      <c r="O24" s="7"/>
      <c r="P24" s="7">
        <f t="shared" si="0"/>
        <v>166903226</v>
      </c>
    </row>
    <row r="25" spans="1:16" ht="15">
      <c r="A25" s="25">
        <v>502</v>
      </c>
      <c r="B25" s="26" t="s">
        <v>183</v>
      </c>
      <c r="C25" s="24">
        <v>59827000</v>
      </c>
      <c r="D25" s="44">
        <v>4119706</v>
      </c>
      <c r="E25" s="7">
        <v>8168341</v>
      </c>
      <c r="F25" s="7">
        <v>4088834</v>
      </c>
      <c r="G25" s="7">
        <v>4119125</v>
      </c>
      <c r="H25" s="7">
        <v>4100499</v>
      </c>
      <c r="I25" s="7">
        <v>4083325</v>
      </c>
      <c r="J25" s="7">
        <v>4327188</v>
      </c>
      <c r="K25" s="7">
        <v>4165187</v>
      </c>
      <c r="L25" s="7">
        <v>4136576</v>
      </c>
      <c r="M25" s="7">
        <v>4130161</v>
      </c>
      <c r="N25" s="7">
        <v>4267042</v>
      </c>
      <c r="O25" s="7"/>
      <c r="P25" s="7">
        <f t="shared" si="0"/>
        <v>49705984</v>
      </c>
    </row>
    <row r="26" spans="1:16" ht="15">
      <c r="A26" s="25">
        <v>503</v>
      </c>
      <c r="B26" s="26" t="s">
        <v>184</v>
      </c>
      <c r="C26" s="24">
        <v>119653000</v>
      </c>
      <c r="D26" s="44">
        <v>8239410</v>
      </c>
      <c r="E26" s="7">
        <v>16336681</v>
      </c>
      <c r="F26" s="7">
        <v>8177660</v>
      </c>
      <c r="G26" s="7">
        <v>8238241</v>
      </c>
      <c r="H26" s="7">
        <v>8201002</v>
      </c>
      <c r="I26" s="7">
        <v>8166642</v>
      </c>
      <c r="J26" s="7">
        <v>8654382</v>
      </c>
      <c r="K26" s="7">
        <v>8330366</v>
      </c>
      <c r="L26" s="7">
        <v>8273142</v>
      </c>
      <c r="M26" s="7">
        <v>8260323</v>
      </c>
      <c r="N26" s="7">
        <v>8534090</v>
      </c>
      <c r="O26" s="7"/>
      <c r="P26" s="7">
        <f t="shared" si="0"/>
        <v>99411939</v>
      </c>
    </row>
    <row r="27" spans="1:17" ht="15">
      <c r="A27" s="25">
        <v>505</v>
      </c>
      <c r="B27" s="26" t="s">
        <v>306</v>
      </c>
      <c r="C27" s="24">
        <v>125000000</v>
      </c>
      <c r="D27" s="44">
        <v>5381687.27</v>
      </c>
      <c r="E27" s="7">
        <v>20914426.869999997</v>
      </c>
      <c r="F27" s="7">
        <v>10641188.13</v>
      </c>
      <c r="G27" s="7">
        <v>10671622.25</v>
      </c>
      <c r="H27" s="7">
        <v>10670820.95</v>
      </c>
      <c r="I27" s="7">
        <v>10956268.45</v>
      </c>
      <c r="J27" s="7">
        <f>227823.69+11409804.52</f>
        <v>11637628.209999999</v>
      </c>
      <c r="K27" s="7">
        <v>10888415.25</v>
      </c>
      <c r="L27" s="7">
        <v>10678796.5</v>
      </c>
      <c r="M27" s="7">
        <v>10650984.7</v>
      </c>
      <c r="N27" s="7">
        <v>10958896.35</v>
      </c>
      <c r="O27" s="7"/>
      <c r="P27" s="7">
        <f t="shared" si="0"/>
        <v>124050734.92999999</v>
      </c>
      <c r="Q27" t="s">
        <v>42</v>
      </c>
    </row>
    <row r="28" spans="1:16" ht="15">
      <c r="A28" s="22" t="s">
        <v>185</v>
      </c>
      <c r="B28" s="23" t="s">
        <v>186</v>
      </c>
      <c r="C28" s="24"/>
      <c r="D28" s="44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f t="shared" si="0"/>
        <v>0</v>
      </c>
    </row>
    <row r="29" spans="1:16" ht="15">
      <c r="A29" s="25">
        <v>9901</v>
      </c>
      <c r="B29" s="26" t="s">
        <v>187</v>
      </c>
      <c r="C29" s="24">
        <v>0</v>
      </c>
      <c r="D29" s="44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f t="shared" si="0"/>
        <v>0</v>
      </c>
    </row>
    <row r="30" spans="1:16" ht="15">
      <c r="A30" s="25"/>
      <c r="B30" s="26"/>
      <c r="C30" s="27"/>
      <c r="D30" s="44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f t="shared" si="0"/>
        <v>0</v>
      </c>
    </row>
    <row r="31" spans="1:16" ht="15">
      <c r="A31" s="19" t="s">
        <v>188</v>
      </c>
      <c r="B31" s="20" t="s">
        <v>189</v>
      </c>
      <c r="C31" s="21">
        <f>SUM(C33:C83)</f>
        <v>563350000</v>
      </c>
      <c r="D31" s="44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f t="shared" si="0"/>
        <v>0</v>
      </c>
    </row>
    <row r="32" spans="1:16" ht="15">
      <c r="A32" s="28">
        <v>101</v>
      </c>
      <c r="B32" s="23" t="s">
        <v>190</v>
      </c>
      <c r="C32" s="24"/>
      <c r="D32" s="4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f t="shared" si="0"/>
        <v>0</v>
      </c>
    </row>
    <row r="33" spans="1:16" ht="15">
      <c r="A33" s="25">
        <v>10101</v>
      </c>
      <c r="B33" s="26" t="s">
        <v>191</v>
      </c>
      <c r="C33" s="24">
        <v>61500000</v>
      </c>
      <c r="D33" s="44">
        <f>309000+550555+45000+65463.75</f>
        <v>970018.75</v>
      </c>
      <c r="E33" s="7">
        <v>2326321.75</v>
      </c>
      <c r="F33" s="7">
        <f>48950+50000+703975+700000+54800+550555</f>
        <v>2108280</v>
      </c>
      <c r="G33" s="7">
        <f>700000+37350+50000+480953+480953+309000+65463.75+703975+633138</f>
        <v>3460832.75</v>
      </c>
      <c r="H33" s="7">
        <f>65463.75+309000+700000+633138+67050+50000+309000+703975+69050</f>
        <v>2906676.75</v>
      </c>
      <c r="I33" s="7">
        <f>65463.75+633138+50000+703975+24600+21050+65463.75+700000+480953+480953+700000+309000+7750</f>
        <v>4242346.5</v>
      </c>
      <c r="J33" s="7">
        <f>50000+633138+54500+703975</f>
        <v>1441613</v>
      </c>
      <c r="K33" s="7">
        <f>309000+65463.75+50000+633138+700000+480953+50000+480953+703975+43990</f>
        <v>3517472.75</v>
      </c>
      <c r="L33" s="7">
        <f>65463.75+309000+703975+700000+633138+309000</f>
        <v>2720576.75</v>
      </c>
      <c r="M33" s="7">
        <f>72010.2+633138+700000+50000+480953+480953+57880</f>
        <v>2474934.2</v>
      </c>
      <c r="N33" s="7">
        <f>703975+703975+72010.2+700000+480953+50000+633138+309000+69500+50000</f>
        <v>3772551.2</v>
      </c>
      <c r="O33" s="7"/>
      <c r="P33" s="7">
        <f t="shared" si="0"/>
        <v>29941624.4</v>
      </c>
    </row>
    <row r="34" spans="1:16" ht="15">
      <c r="A34" s="25">
        <v>10102</v>
      </c>
      <c r="B34" s="26" t="s">
        <v>192</v>
      </c>
      <c r="C34" s="24">
        <v>0</v>
      </c>
      <c r="D34" s="4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f t="shared" si="0"/>
        <v>0</v>
      </c>
    </row>
    <row r="35" spans="1:16" ht="15">
      <c r="A35" s="25">
        <v>10103</v>
      </c>
      <c r="B35" s="26" t="s">
        <v>193</v>
      </c>
      <c r="C35" s="24">
        <v>0</v>
      </c>
      <c r="D35" s="4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f t="shared" si="0"/>
        <v>0</v>
      </c>
    </row>
    <row r="36" spans="1:16" ht="15">
      <c r="A36" s="25">
        <v>10104</v>
      </c>
      <c r="B36" s="26" t="s">
        <v>194</v>
      </c>
      <c r="C36" s="24">
        <f>2000000-2000000</f>
        <v>0</v>
      </c>
      <c r="D36" s="4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f t="shared" si="0"/>
        <v>0</v>
      </c>
    </row>
    <row r="37" spans="1:16" ht="15">
      <c r="A37" s="25">
        <v>10199</v>
      </c>
      <c r="B37" s="26" t="s">
        <v>195</v>
      </c>
      <c r="C37" s="24">
        <v>100000</v>
      </c>
      <c r="D37" s="44"/>
      <c r="E37" s="7"/>
      <c r="F37" s="7"/>
      <c r="G37" s="7"/>
      <c r="H37" s="7"/>
      <c r="I37" s="7"/>
      <c r="J37" s="7"/>
      <c r="K37" s="7"/>
      <c r="L37" s="7"/>
      <c r="M37" s="7">
        <v>34920</v>
      </c>
      <c r="N37" s="7"/>
      <c r="O37" s="7"/>
      <c r="P37" s="7">
        <f t="shared" si="0"/>
        <v>34920</v>
      </c>
    </row>
    <row r="38" spans="1:16" ht="15">
      <c r="A38" s="28">
        <v>102</v>
      </c>
      <c r="B38" s="23" t="s">
        <v>196</v>
      </c>
      <c r="C38" s="24"/>
      <c r="D38" s="4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f t="shared" si="0"/>
        <v>0</v>
      </c>
    </row>
    <row r="39" spans="1:16" ht="15">
      <c r="A39" s="25">
        <v>10201</v>
      </c>
      <c r="B39" s="26" t="s">
        <v>197</v>
      </c>
      <c r="C39" s="24">
        <v>20500000</v>
      </c>
      <c r="D39" s="44">
        <f>5210+12652+12652+7376+1475336</f>
        <v>1513226</v>
      </c>
      <c r="E39" s="7">
        <v>1231779</v>
      </c>
      <c r="F39" s="7">
        <f>7386+9148+1504550+5220+5624</f>
        <v>1531928</v>
      </c>
      <c r="G39" s="7">
        <f>7386+3980+1405990+5624+5624</f>
        <v>1428604</v>
      </c>
      <c r="H39" s="7">
        <f>7386+3980+1526950+9148+7386</f>
        <v>1554850</v>
      </c>
      <c r="I39" s="7">
        <f>5624+3980+1314150+5624+7386</f>
        <v>1336764</v>
      </c>
      <c r="J39" s="7"/>
      <c r="K39" s="7">
        <f>1220070+7386+7386+5220+7386+7386+9148+1244710+2740+7386</f>
        <v>2518818</v>
      </c>
      <c r="L39" s="7">
        <f>7386+5624+1253670+5220+7386</f>
        <v>1279286</v>
      </c>
      <c r="M39" s="7">
        <f>7386+2740+1327590+3862+7386</f>
        <v>1348964</v>
      </c>
      <c r="N39" s="7">
        <f>7525+5659+1456692+2936+9105</f>
        <v>1481917</v>
      </c>
      <c r="O39" s="7"/>
      <c r="P39" s="7">
        <f t="shared" si="0"/>
        <v>15226136</v>
      </c>
    </row>
    <row r="40" spans="1:16" ht="15">
      <c r="A40" s="25">
        <v>10202</v>
      </c>
      <c r="B40" s="26" t="s">
        <v>198</v>
      </c>
      <c r="C40" s="24">
        <v>28500000</v>
      </c>
      <c r="D40" s="44">
        <f>97425+58255+1520176+31024+26405.33+58585+41440+44685+65125</f>
        <v>1943120.33</v>
      </c>
      <c r="E40" s="7">
        <v>1735440.03</v>
      </c>
      <c r="F40" s="7">
        <f>83820+1425285+28894.99+125855+54560+68870+71555</f>
        <v>1858839.99</v>
      </c>
      <c r="G40" s="7">
        <f>27886.59+57765+65450+99650+74110</f>
        <v>324861.58999999997</v>
      </c>
      <c r="H40" s="7">
        <f>117425+1469280+29937.1+98620+1402390+79135+64710+88405+71855</f>
        <v>3421757.1</v>
      </c>
      <c r="I40" s="7">
        <f>88065+1626555+93150+70480+99945+101945+24034.94</f>
        <v>2104174.94</v>
      </c>
      <c r="J40" s="7">
        <f>80375+90540+1765160+93450+54695+28666.19+60330</f>
        <v>2173216.19</v>
      </c>
      <c r="K40" s="7">
        <f>70665+1445120+95840+79755+25901.77+60195+52705</f>
        <v>1830181.77</v>
      </c>
      <c r="L40" s="7">
        <f>75660+1437340+103705+94540+75245+70105+28045.56</f>
        <v>1884640.56</v>
      </c>
      <c r="M40" s="7">
        <f>75660+1687865+99955+85385+86775+26291.11+60810</f>
        <v>2122741.1100000003</v>
      </c>
      <c r="N40" s="7">
        <f>1752325+49420+82415+86590+31252.49+69935</f>
        <v>2071937.49</v>
      </c>
      <c r="O40" s="7"/>
      <c r="P40" s="7">
        <f t="shared" si="0"/>
        <v>21470911.099999998</v>
      </c>
    </row>
    <row r="41" spans="1:16" ht="15">
      <c r="A41" s="25">
        <v>10203</v>
      </c>
      <c r="B41" s="26" t="s">
        <v>199</v>
      </c>
      <c r="C41" s="24">
        <f>8000000+1000000</f>
        <v>9000000</v>
      </c>
      <c r="D41" s="44">
        <v>10840</v>
      </c>
      <c r="E41" s="7">
        <v>474550</v>
      </c>
      <c r="F41" s="7">
        <f>800890+3700</f>
        <v>804590</v>
      </c>
      <c r="G41" s="7">
        <v>729540</v>
      </c>
      <c r="H41" s="7">
        <f>475610+8120</f>
        <v>483730</v>
      </c>
      <c r="I41" s="7">
        <f>607480+9735</f>
        <v>617215</v>
      </c>
      <c r="J41" s="7"/>
      <c r="K41" s="7">
        <f>944550+497130</f>
        <v>1441680</v>
      </c>
      <c r="L41" s="7">
        <v>562440</v>
      </c>
      <c r="M41" s="7"/>
      <c r="N41" s="7">
        <f>878170+660890</f>
        <v>1539060</v>
      </c>
      <c r="O41" s="7"/>
      <c r="P41" s="7">
        <f t="shared" si="0"/>
        <v>6663645</v>
      </c>
    </row>
    <row r="42" spans="1:16" ht="15">
      <c r="A42" s="25">
        <v>10204</v>
      </c>
      <c r="B42" s="26" t="s">
        <v>200</v>
      </c>
      <c r="C42" s="24">
        <v>48250000</v>
      </c>
      <c r="D42" s="44">
        <f>2578290.82+52618.18+280667.1+5727.9+195191.5+3983.5+184209.15+3759.35+556744.3+11362.1</f>
        <v>3872553.9</v>
      </c>
      <c r="E42" s="7">
        <v>4208192.52</v>
      </c>
      <c r="F42" s="7">
        <f>718885.71+169257+2675728+300855+200030+190333.6</f>
        <v>4255089.31</v>
      </c>
      <c r="G42" s="7">
        <f>500000+255578.41</f>
        <v>755578.41</v>
      </c>
      <c r="H42" s="7">
        <f>170181+190058.9+2724375+296795+187000+170637+191191.2+653545.52+289485+2648305+186865</f>
        <v>7708438.62</v>
      </c>
      <c r="I42" s="7">
        <f>337995.58+500000+203898.17+171612+194340.2+2743483+344935+190440</f>
        <v>4686703.95</v>
      </c>
      <c r="J42" s="7">
        <f>500000+212837.22+172656+194256.45+2810596+321405+193185</f>
        <v>4404935.67</v>
      </c>
      <c r="K42" s="7">
        <f>500000+182550.17+192681.95+172449+2945026+291665+203225</f>
        <v>4487597.12</v>
      </c>
      <c r="L42" s="7">
        <f>500000+207395.26+173532+193435.7</f>
        <v>1074362.96</v>
      </c>
      <c r="M42" s="7">
        <f>2936429+284975+195655+500000+192719.45+174195+192333.55</f>
        <v>4476307</v>
      </c>
      <c r="N42" s="7">
        <f>2853026+290375+194815+500000+217934.37+173112+191656.85</f>
        <v>4420919.22</v>
      </c>
      <c r="O42" s="7"/>
      <c r="P42" s="7">
        <f t="shared" si="0"/>
        <v>44350678.68</v>
      </c>
    </row>
    <row r="43" spans="1:16" ht="15">
      <c r="A43" s="25">
        <v>10299</v>
      </c>
      <c r="B43" s="26" t="s">
        <v>201</v>
      </c>
      <c r="C43" s="24">
        <v>1500000</v>
      </c>
      <c r="D43" s="44"/>
      <c r="E43" s="7">
        <v>14960.68</v>
      </c>
      <c r="F43" s="7">
        <f>266226+25945.68+32850+12000</f>
        <v>337021.68</v>
      </c>
      <c r="G43" s="7">
        <v>14960.68</v>
      </c>
      <c r="H43" s="7">
        <f>19950+14960.68</f>
        <v>34910.68</v>
      </c>
      <c r="I43" s="7">
        <v>14960.68</v>
      </c>
      <c r="J43" s="7">
        <f>346695.7+15373.18</f>
        <v>362068.88</v>
      </c>
      <c r="K43" s="7">
        <f>15373.18+349981.85</f>
        <v>365355.02999999997</v>
      </c>
      <c r="L43" s="7">
        <v>15373.18</v>
      </c>
      <c r="M43" s="7">
        <v>15373.18</v>
      </c>
      <c r="N43" s="7">
        <f>15776.1+364469.79</f>
        <v>380245.88999999996</v>
      </c>
      <c r="O43" s="7"/>
      <c r="P43" s="7">
        <f t="shared" si="0"/>
        <v>1555230.5599999998</v>
      </c>
    </row>
    <row r="44" spans="1:16" ht="15">
      <c r="A44" s="28">
        <v>103</v>
      </c>
      <c r="B44" s="23" t="s">
        <v>202</v>
      </c>
      <c r="C44" s="24"/>
      <c r="D44" s="4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f t="shared" si="0"/>
        <v>0</v>
      </c>
    </row>
    <row r="45" spans="1:16" ht="15">
      <c r="A45" s="25">
        <v>10301</v>
      </c>
      <c r="B45" s="26" t="s">
        <v>203</v>
      </c>
      <c r="C45" s="24">
        <v>6000000</v>
      </c>
      <c r="D45" s="44"/>
      <c r="E45" s="7">
        <v>8470</v>
      </c>
      <c r="F45" s="7">
        <f>219372+87940</f>
        <v>307312</v>
      </c>
      <c r="G45" s="7">
        <f>63980+77460</f>
        <v>141440</v>
      </c>
      <c r="H45" s="7"/>
      <c r="I45" s="7">
        <v>42930</v>
      </c>
      <c r="J45" s="7">
        <v>115970</v>
      </c>
      <c r="K45" s="7">
        <v>477750</v>
      </c>
      <c r="L45" s="7">
        <v>284570</v>
      </c>
      <c r="M45" s="7"/>
      <c r="N45" s="7">
        <v>800000</v>
      </c>
      <c r="O45" s="7"/>
      <c r="P45" s="7">
        <f t="shared" si="0"/>
        <v>2178442</v>
      </c>
    </row>
    <row r="46" spans="1:16" ht="15">
      <c r="A46" s="25">
        <v>10302</v>
      </c>
      <c r="B46" s="26" t="s">
        <v>204</v>
      </c>
      <c r="C46" s="24">
        <v>0</v>
      </c>
      <c r="D46" s="4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f t="shared" si="0"/>
        <v>0</v>
      </c>
    </row>
    <row r="47" spans="1:16" ht="15">
      <c r="A47" s="25">
        <v>10303</v>
      </c>
      <c r="B47" s="26" t="s">
        <v>205</v>
      </c>
      <c r="C47" s="24">
        <v>4000000</v>
      </c>
      <c r="D47" s="44"/>
      <c r="E47" s="7">
        <v>8760</v>
      </c>
      <c r="F47" s="7"/>
      <c r="G47" s="7">
        <v>31450</v>
      </c>
      <c r="H47" s="7">
        <f>7590+7500</f>
        <v>15090</v>
      </c>
      <c r="I47" s="7">
        <f>21050+7785</f>
        <v>28835</v>
      </c>
      <c r="J47" s="7">
        <v>5355</v>
      </c>
      <c r="K47" s="7">
        <v>5610</v>
      </c>
      <c r="L47" s="7">
        <f>340000+2800+399888</f>
        <v>742688</v>
      </c>
      <c r="M47" s="7"/>
      <c r="N47" s="7">
        <v>8190.01</v>
      </c>
      <c r="O47" s="7"/>
      <c r="P47" s="7">
        <f t="shared" si="0"/>
        <v>845978.01</v>
      </c>
    </row>
    <row r="48" spans="1:16" ht="15">
      <c r="A48" s="25">
        <v>10304</v>
      </c>
      <c r="B48" s="26" t="s">
        <v>206</v>
      </c>
      <c r="C48" s="24">
        <v>200000</v>
      </c>
      <c r="D48" s="44"/>
      <c r="E48" s="7">
        <v>5500</v>
      </c>
      <c r="F48" s="7"/>
      <c r="G48" s="7"/>
      <c r="H48" s="7">
        <v>1000</v>
      </c>
      <c r="I48" s="7">
        <v>1500</v>
      </c>
      <c r="J48" s="7"/>
      <c r="K48" s="7">
        <v>1500</v>
      </c>
      <c r="L48" s="7"/>
      <c r="M48" s="7">
        <v>5400</v>
      </c>
      <c r="N48" s="7">
        <v>3000</v>
      </c>
      <c r="O48" s="7"/>
      <c r="P48" s="7">
        <f t="shared" si="0"/>
        <v>17900</v>
      </c>
    </row>
    <row r="49" spans="1:16" ht="15">
      <c r="A49" s="25">
        <v>10306</v>
      </c>
      <c r="B49" s="26" t="s">
        <v>207</v>
      </c>
      <c r="C49" s="24">
        <f>1200000+500000</f>
        <v>1700000</v>
      </c>
      <c r="D49" s="44">
        <f>114249.7+2331.65</f>
        <v>116581.34999999999</v>
      </c>
      <c r="E49" s="7">
        <v>69233.45</v>
      </c>
      <c r="F49" s="7">
        <v>56816</v>
      </c>
      <c r="G49" s="7"/>
      <c r="H49" s="7">
        <f>57072+56734</f>
        <v>113806</v>
      </c>
      <c r="I49" s="7">
        <v>81096.38</v>
      </c>
      <c r="J49" s="7">
        <f>2306+419466.95</f>
        <v>421772.95</v>
      </c>
      <c r="K49" s="7"/>
      <c r="L49" s="7">
        <f>574962.08+5765</f>
        <v>580727.08</v>
      </c>
      <c r="M49" s="7">
        <v>453776.95</v>
      </c>
      <c r="N49" s="7">
        <f>82173+362093.5+332957.8+238110.3</f>
        <v>1015334.6000000001</v>
      </c>
      <c r="O49" s="7"/>
      <c r="P49" s="7">
        <f t="shared" si="0"/>
        <v>2909144.76</v>
      </c>
    </row>
    <row r="50" spans="1:16" ht="15">
      <c r="A50" s="25">
        <v>10307</v>
      </c>
      <c r="B50" s="26" t="s">
        <v>208</v>
      </c>
      <c r="C50" s="24">
        <v>16800000</v>
      </c>
      <c r="D50" s="44">
        <f>454896.7+9283.61</f>
        <v>464180.31</v>
      </c>
      <c r="E50" s="7">
        <v>610409.57</v>
      </c>
      <c r="F50" s="7">
        <v>781751.51</v>
      </c>
      <c r="G50" s="7"/>
      <c r="H50" s="7">
        <f>721094.17+355308.48</f>
        <v>1076402.65</v>
      </c>
      <c r="I50" s="7">
        <v>915448.81</v>
      </c>
      <c r="J50" s="7">
        <v>939120.54</v>
      </c>
      <c r="K50" s="7">
        <v>684184.44</v>
      </c>
      <c r="L50" s="7">
        <v>832372.21</v>
      </c>
      <c r="M50" s="7">
        <v>1041995.95</v>
      </c>
      <c r="N50" s="7">
        <v>1024342.9</v>
      </c>
      <c r="O50" s="7"/>
      <c r="P50" s="7">
        <f t="shared" si="0"/>
        <v>8370208.890000001</v>
      </c>
    </row>
    <row r="51" spans="1:16" ht="15">
      <c r="A51" s="28">
        <v>104</v>
      </c>
      <c r="B51" s="23" t="s">
        <v>209</v>
      </c>
      <c r="C51" s="24"/>
      <c r="D51" s="4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f t="shared" si="0"/>
        <v>0</v>
      </c>
    </row>
    <row r="52" spans="1:16" ht="15">
      <c r="A52" s="25">
        <v>10401</v>
      </c>
      <c r="B52" s="26" t="s">
        <v>210</v>
      </c>
      <c r="C52" s="24">
        <v>200000</v>
      </c>
      <c r="D52" s="4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f t="shared" si="0"/>
        <v>0</v>
      </c>
    </row>
    <row r="53" spans="1:16" ht="15">
      <c r="A53" s="25">
        <v>10402</v>
      </c>
      <c r="B53" s="26" t="s">
        <v>211</v>
      </c>
      <c r="C53" s="24">
        <v>0</v>
      </c>
      <c r="D53" s="4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f t="shared" si="0"/>
        <v>0</v>
      </c>
    </row>
    <row r="54" spans="1:16" ht="15">
      <c r="A54" s="25">
        <v>10403</v>
      </c>
      <c r="B54" s="26" t="s">
        <v>212</v>
      </c>
      <c r="C54" s="24">
        <v>650000</v>
      </c>
      <c r="D54" s="4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>
        <f t="shared" si="0"/>
        <v>0</v>
      </c>
    </row>
    <row r="55" spans="1:16" ht="15">
      <c r="A55" s="25">
        <v>10404</v>
      </c>
      <c r="B55" s="26" t="s">
        <v>213</v>
      </c>
      <c r="C55" s="24">
        <v>9000000</v>
      </c>
      <c r="D55" s="4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0"/>
        <v>0</v>
      </c>
    </row>
    <row r="56" spans="1:16" ht="15">
      <c r="A56" s="25">
        <v>10405</v>
      </c>
      <c r="B56" s="26" t="s">
        <v>214</v>
      </c>
      <c r="C56" s="24">
        <v>88000000</v>
      </c>
      <c r="D56" s="44"/>
      <c r="E56" s="7"/>
      <c r="F56" s="7"/>
      <c r="G56" s="7"/>
      <c r="H56" s="7"/>
      <c r="I56" s="7"/>
      <c r="J56" s="7"/>
      <c r="K56" s="7">
        <v>10750000</v>
      </c>
      <c r="L56" s="7"/>
      <c r="M56" s="7"/>
      <c r="N56" s="7"/>
      <c r="O56" s="7"/>
      <c r="P56" s="7">
        <f t="shared" si="0"/>
        <v>10750000</v>
      </c>
    </row>
    <row r="57" spans="1:16" ht="15">
      <c r="A57" s="25">
        <v>10406</v>
      </c>
      <c r="B57" s="26" t="s">
        <v>215</v>
      </c>
      <c r="C57" s="24">
        <v>113300000</v>
      </c>
      <c r="D57" s="44">
        <v>60000</v>
      </c>
      <c r="E57" s="7">
        <v>4312791.54</v>
      </c>
      <c r="F57" s="7">
        <f>29040+159800+51500+4349168.06+23600+20000</f>
        <v>4633108.06</v>
      </c>
      <c r="G57" s="7">
        <f>36791.5+36791.5+131627.72+131627.72+4949168.06</f>
        <v>5286006.5</v>
      </c>
      <c r="H57" s="7">
        <f>4349168.06+1200000+38333+4949168.06+20000+2618627.17+39600</f>
        <v>13214896.29</v>
      </c>
      <c r="I57" s="7">
        <f>20000+404278.98+45390+131627.72+131627.72+36791.5+36791.5+410756.59+20255</f>
        <v>1237519.01</v>
      </c>
      <c r="J57" s="7">
        <f>4968958.4+36791.5+131627.72+20000+41118+4968958.4</f>
        <v>10167454.02</v>
      </c>
      <c r="K57" s="7">
        <f>118742.01+79161.32+409056.36+429945.41+20000+102200+4968958.4+133179</f>
        <v>6261242.5</v>
      </c>
      <c r="L57" s="7">
        <f>20000+395691.25+4968958.4</f>
        <v>5384649.65</v>
      </c>
      <c r="M57" s="7">
        <f>20000+92571+4968958.4</f>
        <v>5081529.4</v>
      </c>
      <c r="N57" s="7">
        <f>424235.72+131627.72+36791.5+131627.72+36791.5+131627.72+36791.5+131627.72+36791.5+23013+347940+1166535.84+2916339.6+2916339.6</f>
        <v>8468080.64</v>
      </c>
      <c r="O57" s="7"/>
      <c r="P57" s="7">
        <f t="shared" si="0"/>
        <v>64107277.61</v>
      </c>
    </row>
    <row r="58" spans="1:16" ht="15">
      <c r="A58" s="25">
        <v>10499</v>
      </c>
      <c r="B58" s="26" t="s">
        <v>216</v>
      </c>
      <c r="C58" s="24">
        <v>10200000</v>
      </c>
      <c r="D58" s="44"/>
      <c r="E58" s="7">
        <v>580645.01</v>
      </c>
      <c r="F58" s="7">
        <f>29790+200000+391805.98</f>
        <v>621595.98</v>
      </c>
      <c r="G58" s="7">
        <v>200000</v>
      </c>
      <c r="H58" s="7">
        <f>395372.06+200000</f>
        <v>595372.06</v>
      </c>
      <c r="I58" s="7">
        <f>30000+60000+200000+45000+30000+10920</f>
        <v>375920</v>
      </c>
      <c r="J58" s="7">
        <f>43410+30000</f>
        <v>73410</v>
      </c>
      <c r="K58" s="7">
        <f>400000+30000+38220</f>
        <v>468220</v>
      </c>
      <c r="L58" s="7">
        <f>22500+200000</f>
        <v>222500</v>
      </c>
      <c r="M58" s="7">
        <f>30000+476000+10920</f>
        <v>516920</v>
      </c>
      <c r="N58" s="7">
        <f>30000+200000</f>
        <v>230000</v>
      </c>
      <c r="O58" s="7"/>
      <c r="P58" s="7">
        <f t="shared" si="0"/>
        <v>3884583.05</v>
      </c>
    </row>
    <row r="59" spans="1:16" ht="15">
      <c r="A59" s="28">
        <v>105</v>
      </c>
      <c r="B59" s="23" t="s">
        <v>217</v>
      </c>
      <c r="C59" s="24"/>
      <c r="D59" s="4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>
        <f t="shared" si="0"/>
        <v>0</v>
      </c>
    </row>
    <row r="60" spans="1:16" ht="15">
      <c r="A60" s="25">
        <v>10501</v>
      </c>
      <c r="B60" s="26" t="s">
        <v>218</v>
      </c>
      <c r="C60" s="24">
        <v>2000000</v>
      </c>
      <c r="D60" s="44"/>
      <c r="E60" s="7">
        <v>137610</v>
      </c>
      <c r="F60" s="7">
        <f>2500+12470+3810+1740+2180+85835</f>
        <v>108535</v>
      </c>
      <c r="G60" s="7">
        <f>43315+36410</f>
        <v>79725</v>
      </c>
      <c r="H60" s="7">
        <f>144040+8440+98000</f>
        <v>250480</v>
      </c>
      <c r="I60" s="7">
        <f>112300+3800+4220+15500+40165</f>
        <v>175985</v>
      </c>
      <c r="J60" s="7">
        <f>4460+22020</f>
        <v>26480</v>
      </c>
      <c r="K60" s="7">
        <f>8640+4320+183850</f>
        <v>196810</v>
      </c>
      <c r="L60" s="7">
        <f>4320+2285+6530+4320+61050</f>
        <v>78505</v>
      </c>
      <c r="M60" s="7">
        <f>2160+99175</f>
        <v>101335</v>
      </c>
      <c r="N60" s="7">
        <f>30000+187895+4320+5230+2285</f>
        <v>229730</v>
      </c>
      <c r="O60" s="7"/>
      <c r="P60" s="7">
        <f t="shared" si="0"/>
        <v>1385195</v>
      </c>
    </row>
    <row r="61" spans="1:16" ht="15">
      <c r="A61" s="25">
        <v>10502</v>
      </c>
      <c r="B61" s="26" t="s">
        <v>219</v>
      </c>
      <c r="C61" s="24">
        <v>25000000</v>
      </c>
      <c r="D61" s="44"/>
      <c r="E61" s="7">
        <v>774550</v>
      </c>
      <c r="F61" s="7">
        <f>677750+44950+48150+48150+41750+5150+18650+21850+8350+13500+8350+27000+13500+8350+48150+13500+16700+8350+41000+41000+13500+8350+8350+32650+84750+74750+5150+5150+705710</f>
        <v>2092510</v>
      </c>
      <c r="G61" s="7">
        <f>63350+75350+8350+8350+1411350+51000+69800+43000+21850+158400</f>
        <v>1910800</v>
      </c>
      <c r="H61" s="7">
        <f>42997.5+8350+25050+16700+13500+45850+1062500+27000+8350+10300+10300+47000+43800+37848.8+44850+21850+19900+25050+89895.5+39650+39650+8350+16700+37843+42650+37500+21850+16700+659400</f>
        <v>2521384.8</v>
      </c>
      <c r="I61" s="7">
        <f>107500+8350+36150+39650+54550+11550+8350+75699.6+727450+30825+100500+8350+60550+16700+37849+35850+8350+253450+37850+44949+5150+1138700</f>
        <v>2848322.6</v>
      </c>
      <c r="J61" s="7">
        <f>8350+8350+16700+670650+41850+41850+33500</f>
        <v>821250</v>
      </c>
      <c r="K61" s="7">
        <f>13500+37850+38550+811600+8350+8350+16700+80850+5150+8350+13500+58450+8350+16700+8350+487570</f>
        <v>1622170</v>
      </c>
      <c r="L61" s="7">
        <f>25050+43000+13500+16700+68550+39800+8350+5150+82800+16700+13500+84750+117850+84350+13500+8350+1441750+53250</f>
        <v>2136900</v>
      </c>
      <c r="M61" s="7">
        <f>8350+8350+44950+5150+13500+46900+1361250+8350+8350</f>
        <v>1505150</v>
      </c>
      <c r="N61" s="7">
        <f>8350+8350+5150+726850+34850+81050+39800+52800+55150+38250+39800+39800+44950+21850+39800+44950+44950+8350+8350</f>
        <v>1343400</v>
      </c>
      <c r="O61" s="7"/>
      <c r="P61" s="7">
        <f t="shared" si="0"/>
        <v>17576437.4</v>
      </c>
    </row>
    <row r="62" spans="1:16" ht="15">
      <c r="A62" s="25">
        <v>10503</v>
      </c>
      <c r="B62" s="26" t="s">
        <v>220</v>
      </c>
      <c r="C62" s="24">
        <v>3000000</v>
      </c>
      <c r="D62" s="44"/>
      <c r="E62" s="7"/>
      <c r="F62" s="7"/>
      <c r="G62" s="7">
        <v>700281.1</v>
      </c>
      <c r="H62" s="7"/>
      <c r="I62" s="7">
        <v>168831.39</v>
      </c>
      <c r="J62" s="7">
        <v>21649.01</v>
      </c>
      <c r="K62" s="7"/>
      <c r="L62" s="7">
        <v>44264</v>
      </c>
      <c r="M62" s="7">
        <v>18412.96</v>
      </c>
      <c r="N62" s="7"/>
      <c r="O62" s="7"/>
      <c r="P62" s="7">
        <f t="shared" si="0"/>
        <v>953438.46</v>
      </c>
    </row>
    <row r="63" spans="1:16" ht="15">
      <c r="A63" s="25">
        <v>10504</v>
      </c>
      <c r="B63" s="26" t="s">
        <v>221</v>
      </c>
      <c r="C63" s="24">
        <v>4500000</v>
      </c>
      <c r="D63" s="44"/>
      <c r="E63" s="7">
        <v>252486.38</v>
      </c>
      <c r="F63" s="7">
        <v>181959.99</v>
      </c>
      <c r="G63" s="7"/>
      <c r="H63" s="7">
        <v>117821.95</v>
      </c>
      <c r="I63" s="7">
        <f>75783.64+313737.49+593085.18</f>
        <v>982606.31</v>
      </c>
      <c r="J63" s="7"/>
      <c r="K63" s="7"/>
      <c r="L63" s="7"/>
      <c r="M63" s="7">
        <v>938069.29</v>
      </c>
      <c r="N63" s="7"/>
      <c r="O63" s="7"/>
      <c r="P63" s="7">
        <f t="shared" si="0"/>
        <v>2472943.92</v>
      </c>
    </row>
    <row r="64" spans="1:16" ht="15">
      <c r="A64" s="28">
        <v>106</v>
      </c>
      <c r="B64" s="23" t="s">
        <v>222</v>
      </c>
      <c r="C64" s="24"/>
      <c r="D64" s="4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f t="shared" si="0"/>
        <v>0</v>
      </c>
    </row>
    <row r="65" spans="1:16" ht="15">
      <c r="A65" s="25">
        <v>10601</v>
      </c>
      <c r="B65" s="26" t="s">
        <v>223</v>
      </c>
      <c r="C65" s="24">
        <v>45000000</v>
      </c>
      <c r="D65" s="44">
        <f>585334.4+11945.6+4152738.25+84749.75+4901470+100030+50039.77+1021.23+45258</f>
        <v>9932587</v>
      </c>
      <c r="E65" s="7">
        <v>8509835</v>
      </c>
      <c r="F65" s="7">
        <v>9359686</v>
      </c>
      <c r="G65" s="7"/>
      <c r="H65" s="7"/>
      <c r="I65" s="7">
        <v>28012</v>
      </c>
      <c r="J65" s="7"/>
      <c r="K65" s="7">
        <v>5716731</v>
      </c>
      <c r="L65" s="7"/>
      <c r="M65" s="7">
        <v>897390</v>
      </c>
      <c r="N65" s="7">
        <v>341030</v>
      </c>
      <c r="O65" s="7"/>
      <c r="P65" s="7">
        <f t="shared" si="0"/>
        <v>34785271</v>
      </c>
    </row>
    <row r="66" spans="1:16" ht="15">
      <c r="A66" s="28">
        <v>107</v>
      </c>
      <c r="B66" s="23" t="s">
        <v>224</v>
      </c>
      <c r="C66" s="24"/>
      <c r="D66" s="4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>
        <f t="shared" si="0"/>
        <v>0</v>
      </c>
    </row>
    <row r="67" spans="1:16" ht="15">
      <c r="A67" s="25">
        <v>10701</v>
      </c>
      <c r="B67" s="26" t="s">
        <v>225</v>
      </c>
      <c r="C67" s="24">
        <v>10000000</v>
      </c>
      <c r="D67" s="44"/>
      <c r="E67" s="7">
        <v>90950</v>
      </c>
      <c r="F67" s="7">
        <f>81145+110000+35290+20000</f>
        <v>246435</v>
      </c>
      <c r="G67" s="7">
        <v>495000</v>
      </c>
      <c r="H67" s="7">
        <f>273750+28000+423033.35+38060+283835+50800</f>
        <v>1097478.35</v>
      </c>
      <c r="I67" s="7">
        <f>133830+556500+14400</f>
        <v>704730</v>
      </c>
      <c r="J67" s="7">
        <f>60000+9200</f>
        <v>69200</v>
      </c>
      <c r="K67" s="7">
        <f>376000+41847</f>
        <v>417847</v>
      </c>
      <c r="L67" s="7">
        <f>342386.8+347598+35170+73500+250000</f>
        <v>1048654.8</v>
      </c>
      <c r="M67" s="7">
        <f>165000+40425+930000+250000</f>
        <v>1385425</v>
      </c>
      <c r="N67" s="7">
        <f>57674+91222.88+19330.01+154356.3+31499.05+32980</f>
        <v>387062.24</v>
      </c>
      <c r="O67" s="7"/>
      <c r="P67" s="7">
        <f t="shared" si="0"/>
        <v>5942782.390000001</v>
      </c>
    </row>
    <row r="68" spans="1:16" ht="15">
      <c r="A68" s="25">
        <v>10702</v>
      </c>
      <c r="B68" s="26" t="s">
        <v>226</v>
      </c>
      <c r="C68" s="24">
        <v>3000000</v>
      </c>
      <c r="D68" s="44"/>
      <c r="E68" s="7"/>
      <c r="F68" s="7"/>
      <c r="G68" s="7"/>
      <c r="H68" s="7">
        <v>18630</v>
      </c>
      <c r="I68" s="7"/>
      <c r="J68" s="7"/>
      <c r="K68" s="7"/>
      <c r="L68" s="7"/>
      <c r="M68" s="7"/>
      <c r="N68" s="7">
        <f>570000+45000+60000+299750+123610</f>
        <v>1098360</v>
      </c>
      <c r="O68" s="7"/>
      <c r="P68" s="7">
        <f t="shared" si="0"/>
        <v>1116990</v>
      </c>
    </row>
    <row r="69" spans="1:16" ht="15">
      <c r="A69" s="25">
        <v>10703</v>
      </c>
      <c r="B69" s="26" t="s">
        <v>227</v>
      </c>
      <c r="C69" s="24">
        <v>200000</v>
      </c>
      <c r="D69" s="44"/>
      <c r="E69" s="7">
        <v>68600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>
        <f t="shared" si="0"/>
        <v>68600</v>
      </c>
    </row>
    <row r="70" spans="1:16" ht="15">
      <c r="A70" s="28">
        <v>108</v>
      </c>
      <c r="B70" s="23" t="s">
        <v>228</v>
      </c>
      <c r="C70" s="24"/>
      <c r="D70" s="44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>
        <f aca="true" t="shared" si="1" ref="P70:P133">SUM(D70:O70)</f>
        <v>0</v>
      </c>
    </row>
    <row r="71" spans="1:16" ht="15">
      <c r="A71" s="25">
        <v>10801</v>
      </c>
      <c r="B71" s="26" t="s">
        <v>229</v>
      </c>
      <c r="C71" s="24">
        <v>30000000</v>
      </c>
      <c r="D71" s="44"/>
      <c r="E71" s="7"/>
      <c r="F71" s="7"/>
      <c r="G71" s="7"/>
      <c r="H71" s="7"/>
      <c r="I71" s="7">
        <f>150000+249999</f>
        <v>399999</v>
      </c>
      <c r="J71" s="7">
        <f>61100+520000</f>
        <v>581100</v>
      </c>
      <c r="K71" s="7">
        <v>4500000</v>
      </c>
      <c r="L71" s="7"/>
      <c r="M71" s="7"/>
      <c r="N71" s="7">
        <f>2125000+950000</f>
        <v>3075000</v>
      </c>
      <c r="O71" s="7"/>
      <c r="P71" s="7">
        <f t="shared" si="1"/>
        <v>8556099</v>
      </c>
    </row>
    <row r="72" spans="1:16" ht="15">
      <c r="A72" s="25">
        <v>10804</v>
      </c>
      <c r="B72" s="26" t="s">
        <v>230</v>
      </c>
      <c r="C72" s="24">
        <v>4000000</v>
      </c>
      <c r="D72" s="44"/>
      <c r="E72" s="7">
        <v>39500</v>
      </c>
      <c r="F72" s="7"/>
      <c r="G72" s="7"/>
      <c r="H72" s="7"/>
      <c r="I72" s="7">
        <v>1043750</v>
      </c>
      <c r="J72" s="7"/>
      <c r="K72" s="7">
        <v>105650</v>
      </c>
      <c r="L72" s="7"/>
      <c r="M72" s="7"/>
      <c r="N72" s="7">
        <f>236250+236250</f>
        <v>472500</v>
      </c>
      <c r="O72" s="7"/>
      <c r="P72" s="7">
        <f t="shared" si="1"/>
        <v>1661400</v>
      </c>
    </row>
    <row r="73" spans="1:16" ht="15">
      <c r="A73" s="25">
        <v>10805</v>
      </c>
      <c r="B73" s="26" t="s">
        <v>231</v>
      </c>
      <c r="C73" s="24">
        <v>9000000</v>
      </c>
      <c r="D73" s="44"/>
      <c r="E73" s="7">
        <v>65475</v>
      </c>
      <c r="F73" s="7">
        <f>17410+133570+87370+971824+43410</f>
        <v>1253584</v>
      </c>
      <c r="G73" s="7">
        <f>38565+25000+25000+75000+181500+107000</f>
        <v>452065</v>
      </c>
      <c r="H73" s="7">
        <f>23500+40549+34609+55000+32900+32900+28840+97000+48369.5+23500+35840+23500+20770+11760+357000+67540</f>
        <v>933577.5</v>
      </c>
      <c r="I73" s="7">
        <f>23500+57370+57370+25000+25000+25000+25000+29120+33783+23380+25853+23500+23500+33783+192400+25885+23380+69720+31500</f>
        <v>774044</v>
      </c>
      <c r="J73" s="7">
        <f>80000+260000+1950441+25000+25000+25000+18540</f>
        <v>2383981</v>
      </c>
      <c r="K73" s="7">
        <f>119650+29120+23500+23500+21865+43665+172864+23500+56920+87370+239000+294000+23030+25970+91524+1000</f>
        <v>1276478</v>
      </c>
      <c r="L73" s="7">
        <f>23030+33916.82+65300+19500+25000+25000+25000+23030+16121+1662</f>
        <v>257559.82</v>
      </c>
      <c r="M73" s="7">
        <f>87370+87370+23500+21040</f>
        <v>219280</v>
      </c>
      <c r="N73" s="7">
        <f>185690+360270+255060+208590+23500+242240+32595+34610+420000+27525+18000+7140+28000</f>
        <v>1843220</v>
      </c>
      <c r="O73" s="7"/>
      <c r="P73" s="7">
        <f t="shared" si="1"/>
        <v>9459264.32</v>
      </c>
    </row>
    <row r="74" spans="1:16" ht="15">
      <c r="A74" s="25">
        <v>10806</v>
      </c>
      <c r="B74" s="26" t="s">
        <v>232</v>
      </c>
      <c r="C74" s="24">
        <v>1000000</v>
      </c>
      <c r="D74" s="44"/>
      <c r="E74" s="7">
        <v>0</v>
      </c>
      <c r="F74" s="7">
        <v>40000</v>
      </c>
      <c r="G74" s="7"/>
      <c r="H74" s="7"/>
      <c r="I74" s="7"/>
      <c r="J74" s="7"/>
      <c r="K74" s="7"/>
      <c r="L74" s="7"/>
      <c r="M74" s="7">
        <v>8000</v>
      </c>
      <c r="N74" s="7"/>
      <c r="O74" s="7"/>
      <c r="P74" s="7">
        <f t="shared" si="1"/>
        <v>48000</v>
      </c>
    </row>
    <row r="75" spans="1:16" ht="15">
      <c r="A75" s="25">
        <v>10807</v>
      </c>
      <c r="B75" s="26" t="s">
        <v>233</v>
      </c>
      <c r="C75" s="24">
        <v>3500000</v>
      </c>
      <c r="D75" s="44"/>
      <c r="E75" s="7">
        <v>36117.15</v>
      </c>
      <c r="F75" s="7">
        <v>30900</v>
      </c>
      <c r="G75" s="7"/>
      <c r="H75" s="7">
        <v>39550</v>
      </c>
      <c r="I75" s="7"/>
      <c r="J75" s="7">
        <v>76000</v>
      </c>
      <c r="K75" s="7">
        <f>131255.2+700000+380758.28+719999.64+42577.5</f>
        <v>1974590.62</v>
      </c>
      <c r="L75" s="7">
        <v>78000</v>
      </c>
      <c r="M75" s="7">
        <v>733290.84</v>
      </c>
      <c r="N75" s="7"/>
      <c r="O75" s="7"/>
      <c r="P75" s="7">
        <f t="shared" si="1"/>
        <v>2968448.61</v>
      </c>
    </row>
    <row r="76" spans="1:16" ht="15">
      <c r="A76" s="25">
        <v>10808</v>
      </c>
      <c r="B76" s="26" t="s">
        <v>234</v>
      </c>
      <c r="C76" s="24">
        <v>2500000</v>
      </c>
      <c r="D76" s="44"/>
      <c r="E76" s="7">
        <v>43506.06</v>
      </c>
      <c r="F76" s="7"/>
      <c r="G76" s="7"/>
      <c r="H76" s="7">
        <v>15000</v>
      </c>
      <c r="I76" s="7"/>
      <c r="J76" s="7"/>
      <c r="K76" s="7">
        <f>70000+41195.69+69670+30000</f>
        <v>210865.69</v>
      </c>
      <c r="L76" s="7"/>
      <c r="M76" s="7">
        <f>60320+238970</f>
        <v>299290</v>
      </c>
      <c r="N76" s="7">
        <f>205000+38019.24+33969.6</f>
        <v>276988.83999999997</v>
      </c>
      <c r="O76" s="7"/>
      <c r="P76" s="7">
        <f t="shared" si="1"/>
        <v>845650.59</v>
      </c>
    </row>
    <row r="77" spans="1:16" ht="15">
      <c r="A77" s="25">
        <v>10899</v>
      </c>
      <c r="B77" s="26" t="s">
        <v>235</v>
      </c>
      <c r="C77" s="24">
        <v>150000</v>
      </c>
      <c r="D77" s="4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>
        <f t="shared" si="1"/>
        <v>0</v>
      </c>
    </row>
    <row r="78" spans="1:16" ht="15">
      <c r="A78" s="28">
        <v>109</v>
      </c>
      <c r="B78" s="23" t="s">
        <v>236</v>
      </c>
      <c r="C78" s="24"/>
      <c r="D78" s="4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>
        <f t="shared" si="1"/>
        <v>0</v>
      </c>
    </row>
    <row r="79" spans="1:16" ht="15">
      <c r="A79" s="25">
        <v>10999</v>
      </c>
      <c r="B79" s="26" t="s">
        <v>237</v>
      </c>
      <c r="C79" s="24">
        <v>600000</v>
      </c>
      <c r="D79" s="4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>
        <f t="shared" si="1"/>
        <v>0</v>
      </c>
    </row>
    <row r="80" spans="1:16" ht="15">
      <c r="A80" s="28">
        <v>199</v>
      </c>
      <c r="B80" s="23" t="s">
        <v>238</v>
      </c>
      <c r="C80" s="24"/>
      <c r="D80" s="4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>
        <f t="shared" si="1"/>
        <v>0</v>
      </c>
    </row>
    <row r="81" spans="1:16" ht="15">
      <c r="A81" s="25">
        <v>19905</v>
      </c>
      <c r="B81" s="26" t="s">
        <v>239</v>
      </c>
      <c r="C81" s="24">
        <v>500000</v>
      </c>
      <c r="D81" s="44"/>
      <c r="E81" s="7"/>
      <c r="F81" s="7"/>
      <c r="G81" s="7"/>
      <c r="H81" s="7"/>
      <c r="I81" s="7"/>
      <c r="J81" s="7"/>
      <c r="K81" s="7"/>
      <c r="L81" s="7"/>
      <c r="M81" s="7"/>
      <c r="N81" s="7">
        <v>150000</v>
      </c>
      <c r="O81" s="7"/>
      <c r="P81" s="7">
        <f t="shared" si="1"/>
        <v>150000</v>
      </c>
    </row>
    <row r="82" spans="1:16" ht="15">
      <c r="A82" s="25">
        <v>19902</v>
      </c>
      <c r="B82" s="26" t="s">
        <v>240</v>
      </c>
      <c r="C82" s="24">
        <v>0</v>
      </c>
      <c r="D82" s="4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>
        <f t="shared" si="1"/>
        <v>0</v>
      </c>
    </row>
    <row r="83" spans="1:16" ht="15">
      <c r="A83" s="25">
        <v>19999</v>
      </c>
      <c r="B83" s="26" t="s">
        <v>241</v>
      </c>
      <c r="C83" s="24">
        <v>0</v>
      </c>
      <c r="D83" s="4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>
        <f t="shared" si="1"/>
        <v>0</v>
      </c>
    </row>
    <row r="84" spans="1:16" ht="15">
      <c r="A84" s="25"/>
      <c r="B84" s="26"/>
      <c r="C84" s="26"/>
      <c r="D84" s="44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>
        <f t="shared" si="1"/>
        <v>0</v>
      </c>
    </row>
    <row r="85" spans="1:16" ht="15">
      <c r="A85" s="25"/>
      <c r="B85" s="26"/>
      <c r="C85" s="24"/>
      <c r="D85" s="4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>
        <f t="shared" si="1"/>
        <v>0</v>
      </c>
    </row>
    <row r="86" spans="1:16" ht="15">
      <c r="A86" s="25"/>
      <c r="B86" s="26"/>
      <c r="C86" s="24"/>
      <c r="D86" s="44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>
        <f t="shared" si="1"/>
        <v>0</v>
      </c>
    </row>
    <row r="87" spans="1:16" ht="15">
      <c r="A87" s="19" t="s">
        <v>242</v>
      </c>
      <c r="B87" s="20" t="s">
        <v>243</v>
      </c>
      <c r="C87" s="21">
        <f>SUM(C89:C118)</f>
        <v>46400000</v>
      </c>
      <c r="D87" s="4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>
        <f t="shared" si="1"/>
        <v>0</v>
      </c>
    </row>
    <row r="88" spans="1:16" ht="15">
      <c r="A88" s="28">
        <v>201</v>
      </c>
      <c r="B88" s="23" t="s">
        <v>244</v>
      </c>
      <c r="C88" s="24"/>
      <c r="D88" s="4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>
        <f t="shared" si="1"/>
        <v>0</v>
      </c>
    </row>
    <row r="89" spans="1:16" ht="15">
      <c r="A89" s="25">
        <v>20101</v>
      </c>
      <c r="B89" s="26" t="s">
        <v>245</v>
      </c>
      <c r="C89" s="24">
        <v>12000000</v>
      </c>
      <c r="D89" s="44"/>
      <c r="E89" s="7">
        <v>16003</v>
      </c>
      <c r="F89" s="7">
        <v>8930</v>
      </c>
      <c r="G89" s="7"/>
      <c r="H89" s="7">
        <f>20000+196543</f>
        <v>216543</v>
      </c>
      <c r="I89" s="7">
        <f>552713+371639+2000000+15000</f>
        <v>2939352</v>
      </c>
      <c r="J89" s="7">
        <f>2000000+428000</f>
        <v>2428000</v>
      </c>
      <c r="K89" s="7">
        <f>474901+268865</f>
        <v>743766</v>
      </c>
      <c r="L89" s="7">
        <v>58899</v>
      </c>
      <c r="M89" s="7">
        <f>5500000+32000</f>
        <v>5532000</v>
      </c>
      <c r="N89" s="7"/>
      <c r="O89" s="7"/>
      <c r="P89" s="7">
        <f t="shared" si="1"/>
        <v>11943493</v>
      </c>
    </row>
    <row r="90" spans="1:16" ht="15">
      <c r="A90" s="25">
        <v>20102</v>
      </c>
      <c r="B90" s="26" t="s">
        <v>246</v>
      </c>
      <c r="C90" s="24">
        <v>1000000</v>
      </c>
      <c r="D90" s="44"/>
      <c r="E90" s="7"/>
      <c r="F90" s="7"/>
      <c r="G90" s="7"/>
      <c r="H90" s="7">
        <v>133195.7</v>
      </c>
      <c r="I90" s="7">
        <f>22500+11529+250750</f>
        <v>284779</v>
      </c>
      <c r="J90" s="7"/>
      <c r="K90" s="7">
        <f>692550+9995</f>
        <v>702545</v>
      </c>
      <c r="L90" s="7"/>
      <c r="M90" s="7"/>
      <c r="N90" s="7"/>
      <c r="O90" s="7"/>
      <c r="P90" s="7">
        <f t="shared" si="1"/>
        <v>1120519.7</v>
      </c>
    </row>
    <row r="91" spans="1:16" ht="15">
      <c r="A91" s="25">
        <v>20104</v>
      </c>
      <c r="B91" s="26" t="s">
        <v>247</v>
      </c>
      <c r="C91" s="24">
        <v>10000000</v>
      </c>
      <c r="D91" s="44"/>
      <c r="E91" s="7">
        <v>18700</v>
      </c>
      <c r="F91" s="7">
        <f>21900+10950</f>
        <v>32850</v>
      </c>
      <c r="G91" s="7"/>
      <c r="H91" s="7">
        <f>138855.55+84775+1310097.57+21050.01+897232.9+1570898.75+10660</f>
        <v>4033569.7800000003</v>
      </c>
      <c r="I91" s="7">
        <v>20950</v>
      </c>
      <c r="J91" s="7">
        <v>39480</v>
      </c>
      <c r="K91" s="7">
        <v>45870</v>
      </c>
      <c r="L91" s="7"/>
      <c r="M91" s="7">
        <v>15120</v>
      </c>
      <c r="N91" s="7">
        <v>15120</v>
      </c>
      <c r="O91" s="7"/>
      <c r="P91" s="7">
        <f t="shared" si="1"/>
        <v>4221659.78</v>
      </c>
    </row>
    <row r="92" spans="1:16" ht="15">
      <c r="A92" s="25">
        <v>20199</v>
      </c>
      <c r="B92" s="26" t="s">
        <v>248</v>
      </c>
      <c r="C92" s="24">
        <v>200000</v>
      </c>
      <c r="D92" s="44"/>
      <c r="E92" s="7">
        <v>21600</v>
      </c>
      <c r="F92" s="7">
        <v>8200</v>
      </c>
      <c r="G92" s="7"/>
      <c r="H92" s="7"/>
      <c r="I92" s="7"/>
      <c r="J92" s="7"/>
      <c r="K92" s="7">
        <v>169840</v>
      </c>
      <c r="L92" s="7"/>
      <c r="M92" s="7"/>
      <c r="N92" s="7"/>
      <c r="O92" s="7"/>
      <c r="P92" s="7">
        <f t="shared" si="1"/>
        <v>199640</v>
      </c>
    </row>
    <row r="93" spans="1:16" ht="15">
      <c r="A93" s="25"/>
      <c r="B93" s="26"/>
      <c r="C93" s="24"/>
      <c r="D93" s="4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>
        <f t="shared" si="1"/>
        <v>0</v>
      </c>
    </row>
    <row r="94" spans="1:16" ht="15">
      <c r="A94" s="25"/>
      <c r="B94" s="26"/>
      <c r="C94" s="24"/>
      <c r="D94" s="4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>
        <f t="shared" si="1"/>
        <v>0</v>
      </c>
    </row>
    <row r="95" spans="1:16" ht="15">
      <c r="A95" s="28">
        <v>202</v>
      </c>
      <c r="B95" s="23" t="s">
        <v>249</v>
      </c>
      <c r="C95" s="24"/>
      <c r="D95" s="4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>
        <f t="shared" si="1"/>
        <v>0</v>
      </c>
    </row>
    <row r="96" spans="1:16" ht="15">
      <c r="A96" s="25">
        <v>20201</v>
      </c>
      <c r="B96" s="26" t="s">
        <v>250</v>
      </c>
      <c r="C96" s="24">
        <v>0</v>
      </c>
      <c r="D96" s="4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>
        <f t="shared" si="1"/>
        <v>0</v>
      </c>
    </row>
    <row r="97" spans="1:16" ht="15">
      <c r="A97" s="25">
        <v>20202</v>
      </c>
      <c r="B97" s="26" t="s">
        <v>251</v>
      </c>
      <c r="C97" s="24">
        <v>0</v>
      </c>
      <c r="D97" s="4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>
        <f t="shared" si="1"/>
        <v>0</v>
      </c>
    </row>
    <row r="98" spans="1:16" ht="15">
      <c r="A98" s="25">
        <v>20203</v>
      </c>
      <c r="B98" s="26" t="s">
        <v>252</v>
      </c>
      <c r="C98" s="24">
        <v>1700000</v>
      </c>
      <c r="D98" s="44"/>
      <c r="E98" s="7">
        <v>28644.6</v>
      </c>
      <c r="F98" s="7">
        <f>3000+10644</f>
        <v>13644</v>
      </c>
      <c r="G98" s="7">
        <f>431250+81345+158008</f>
        <v>670603</v>
      </c>
      <c r="H98" s="7">
        <v>24374</v>
      </c>
      <c r="I98" s="7">
        <v>25644.6</v>
      </c>
      <c r="J98" s="7"/>
      <c r="K98" s="7">
        <f>125008+42330+19596</f>
        <v>186934</v>
      </c>
      <c r="L98" s="7"/>
      <c r="M98" s="7">
        <f>158008+22596.8+39250+431250</f>
        <v>651104.8</v>
      </c>
      <c r="N98" s="7">
        <v>15096</v>
      </c>
      <c r="O98" s="7"/>
      <c r="P98" s="7">
        <f t="shared" si="1"/>
        <v>1616045</v>
      </c>
    </row>
    <row r="99" spans="1:16" ht="15">
      <c r="A99" s="28">
        <v>203</v>
      </c>
      <c r="B99" s="23" t="s">
        <v>253</v>
      </c>
      <c r="C99" s="24"/>
      <c r="D99" s="4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>
        <f t="shared" si="1"/>
        <v>0</v>
      </c>
    </row>
    <row r="100" spans="1:16" ht="15">
      <c r="A100" s="25">
        <v>20301</v>
      </c>
      <c r="B100" s="26" t="s">
        <v>254</v>
      </c>
      <c r="C100" s="24">
        <v>200000</v>
      </c>
      <c r="D100" s="44"/>
      <c r="E100" s="7">
        <v>5500</v>
      </c>
      <c r="F100" s="7">
        <v>19485</v>
      </c>
      <c r="G100" s="7"/>
      <c r="H100" s="7">
        <v>21714.75</v>
      </c>
      <c r="I100" s="7">
        <f>32900+21535</f>
        <v>54435</v>
      </c>
      <c r="J100" s="7"/>
      <c r="K100" s="7">
        <v>3690</v>
      </c>
      <c r="L100" s="7">
        <v>4800</v>
      </c>
      <c r="M100" s="7">
        <v>7813.81</v>
      </c>
      <c r="N100" s="7">
        <v>2600</v>
      </c>
      <c r="O100" s="7"/>
      <c r="P100" s="7">
        <f t="shared" si="1"/>
        <v>120038.56</v>
      </c>
    </row>
    <row r="101" spans="1:16" ht="15">
      <c r="A101" s="25">
        <v>20302</v>
      </c>
      <c r="B101" s="26" t="s">
        <v>255</v>
      </c>
      <c r="C101" s="24">
        <v>200000</v>
      </c>
      <c r="D101" s="44"/>
      <c r="E101" s="7">
        <v>9547.45</v>
      </c>
      <c r="F101" s="7"/>
      <c r="G101" s="7"/>
      <c r="H101" s="7"/>
      <c r="I101" s="7"/>
      <c r="J101" s="7"/>
      <c r="K101" s="7">
        <v>14305</v>
      </c>
      <c r="L101" s="7"/>
      <c r="M101" s="7">
        <v>23700</v>
      </c>
      <c r="N101" s="7"/>
      <c r="O101" s="7"/>
      <c r="P101" s="7">
        <f t="shared" si="1"/>
        <v>47552.45</v>
      </c>
    </row>
    <row r="102" spans="1:16" ht="15">
      <c r="A102" s="25">
        <v>20303</v>
      </c>
      <c r="B102" s="26" t="s">
        <v>256</v>
      </c>
      <c r="C102" s="24">
        <v>150000</v>
      </c>
      <c r="D102" s="44"/>
      <c r="E102" s="7">
        <v>8100</v>
      </c>
      <c r="F102" s="7">
        <v>8100</v>
      </c>
      <c r="G102" s="7"/>
      <c r="H102" s="7"/>
      <c r="I102" s="7">
        <v>7100</v>
      </c>
      <c r="J102" s="7"/>
      <c r="K102" s="7"/>
      <c r="L102" s="7"/>
      <c r="M102" s="7"/>
      <c r="N102" s="7"/>
      <c r="O102" s="7"/>
      <c r="P102" s="7">
        <f t="shared" si="1"/>
        <v>23300</v>
      </c>
    </row>
    <row r="103" spans="1:16" ht="15">
      <c r="A103" s="25">
        <v>20304</v>
      </c>
      <c r="B103" s="26" t="s">
        <v>257</v>
      </c>
      <c r="C103" s="24">
        <v>4200000</v>
      </c>
      <c r="D103" s="44"/>
      <c r="E103" s="7">
        <v>328652.12</v>
      </c>
      <c r="F103" s="7">
        <f>850+9900</f>
        <v>10750</v>
      </c>
      <c r="G103" s="7"/>
      <c r="H103" s="7">
        <f>27263.32+2050</f>
        <v>29313.32</v>
      </c>
      <c r="I103" s="7">
        <v>18910</v>
      </c>
      <c r="J103" s="7"/>
      <c r="K103" s="7">
        <v>9300</v>
      </c>
      <c r="L103" s="7"/>
      <c r="M103" s="7">
        <v>83619.95</v>
      </c>
      <c r="N103" s="7">
        <f>579420+14390</f>
        <v>593810</v>
      </c>
      <c r="O103" s="7"/>
      <c r="P103" s="7">
        <f t="shared" si="1"/>
        <v>1074355.3900000001</v>
      </c>
    </row>
    <row r="104" spans="1:16" ht="15">
      <c r="A104" s="25">
        <v>20305</v>
      </c>
      <c r="B104" s="26" t="s">
        <v>258</v>
      </c>
      <c r="C104" s="24">
        <v>50000</v>
      </c>
      <c r="D104" s="44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>
        <f t="shared" si="1"/>
        <v>0</v>
      </c>
    </row>
    <row r="105" spans="1:16" ht="15">
      <c r="A105" s="25">
        <v>20306</v>
      </c>
      <c r="B105" s="26" t="s">
        <v>259</v>
      </c>
      <c r="C105" s="24">
        <v>700000</v>
      </c>
      <c r="D105" s="44"/>
      <c r="E105" s="7"/>
      <c r="F105" s="7">
        <v>32250</v>
      </c>
      <c r="G105" s="7"/>
      <c r="H105" s="7">
        <v>22000</v>
      </c>
      <c r="I105" s="7">
        <v>8625</v>
      </c>
      <c r="J105" s="7">
        <v>9600</v>
      </c>
      <c r="K105" s="7"/>
      <c r="L105" s="7"/>
      <c r="M105" s="7"/>
      <c r="N105" s="7"/>
      <c r="O105" s="7"/>
      <c r="P105" s="7">
        <f t="shared" si="1"/>
        <v>72475</v>
      </c>
    </row>
    <row r="106" spans="1:16" ht="15">
      <c r="A106" s="25">
        <v>20399</v>
      </c>
      <c r="B106" s="26" t="s">
        <v>260</v>
      </c>
      <c r="C106" s="24">
        <v>600000</v>
      </c>
      <c r="D106" s="44"/>
      <c r="E106" s="7">
        <v>10200</v>
      </c>
      <c r="F106" s="7">
        <v>1215</v>
      </c>
      <c r="G106" s="7"/>
      <c r="H106" s="7">
        <f>10000+17000</f>
        <v>27000</v>
      </c>
      <c r="I106" s="7">
        <v>9645</v>
      </c>
      <c r="J106" s="7"/>
      <c r="K106" s="7">
        <v>25750</v>
      </c>
      <c r="L106" s="7"/>
      <c r="M106" s="7">
        <v>2800</v>
      </c>
      <c r="N106" s="7">
        <v>8400</v>
      </c>
      <c r="O106" s="7"/>
      <c r="P106" s="7">
        <f t="shared" si="1"/>
        <v>85010</v>
      </c>
    </row>
    <row r="107" spans="1:16" ht="15">
      <c r="A107" s="28">
        <v>204</v>
      </c>
      <c r="B107" s="23" t="s">
        <v>261</v>
      </c>
      <c r="C107" s="24"/>
      <c r="D107" s="44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>
        <f t="shared" si="1"/>
        <v>0</v>
      </c>
    </row>
    <row r="108" spans="1:16" ht="15">
      <c r="A108" s="25">
        <v>20401</v>
      </c>
      <c r="B108" s="26" t="s">
        <v>262</v>
      </c>
      <c r="C108" s="24">
        <v>1000000</v>
      </c>
      <c r="D108" s="44"/>
      <c r="E108" s="7">
        <v>16314</v>
      </c>
      <c r="F108" s="7">
        <v>4000</v>
      </c>
      <c r="G108" s="7"/>
      <c r="H108" s="7">
        <v>13435</v>
      </c>
      <c r="I108" s="7">
        <v>9300</v>
      </c>
      <c r="J108" s="7"/>
      <c r="K108" s="7">
        <v>36125</v>
      </c>
      <c r="L108" s="7"/>
      <c r="M108" s="7">
        <v>9305</v>
      </c>
      <c r="N108" s="7">
        <v>585000</v>
      </c>
      <c r="O108" s="7"/>
      <c r="P108" s="7">
        <f t="shared" si="1"/>
        <v>673479</v>
      </c>
    </row>
    <row r="109" spans="1:16" ht="15">
      <c r="A109" s="25">
        <v>20402</v>
      </c>
      <c r="B109" s="26" t="s">
        <v>263</v>
      </c>
      <c r="C109" s="24">
        <v>2000000</v>
      </c>
      <c r="D109" s="44"/>
      <c r="E109" s="7">
        <v>92868.35</v>
      </c>
      <c r="F109" s="7">
        <f>17580+27600</f>
        <v>45180</v>
      </c>
      <c r="G109" s="7"/>
      <c r="H109" s="7">
        <f>7600+23054.84</f>
        <v>30654.84</v>
      </c>
      <c r="I109" s="7">
        <v>12995</v>
      </c>
      <c r="J109" s="7">
        <v>11700</v>
      </c>
      <c r="K109" s="7">
        <v>31439</v>
      </c>
      <c r="L109" s="7">
        <v>2000</v>
      </c>
      <c r="M109" s="7">
        <f>68166.84+53428</f>
        <v>121594.84</v>
      </c>
      <c r="N109" s="7">
        <f>88000+56280</f>
        <v>144280</v>
      </c>
      <c r="O109" s="7"/>
      <c r="P109" s="7">
        <f t="shared" si="1"/>
        <v>492712.03</v>
      </c>
    </row>
    <row r="110" spans="1:16" ht="15">
      <c r="A110" s="28">
        <v>299</v>
      </c>
      <c r="B110" s="23" t="s">
        <v>264</v>
      </c>
      <c r="C110" s="24"/>
      <c r="D110" s="44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>
        <f t="shared" si="1"/>
        <v>0</v>
      </c>
    </row>
    <row r="111" spans="1:16" ht="15">
      <c r="A111" s="25">
        <v>29901</v>
      </c>
      <c r="B111" s="26" t="s">
        <v>265</v>
      </c>
      <c r="C111" s="24">
        <f>1300000+4500000-3800000</f>
        <v>2000000</v>
      </c>
      <c r="D111" s="44"/>
      <c r="E111" s="7"/>
      <c r="F111" s="7">
        <f>17275+3100</f>
        <v>20375</v>
      </c>
      <c r="G111" s="7"/>
      <c r="H111" s="7">
        <f>8255+446000</f>
        <v>454255</v>
      </c>
      <c r="I111" s="7">
        <v>455544.93</v>
      </c>
      <c r="J111" s="7">
        <v>3000</v>
      </c>
      <c r="K111" s="7">
        <v>8645</v>
      </c>
      <c r="L111" s="7">
        <f>4590+700+151858+59450</f>
        <v>216598</v>
      </c>
      <c r="M111" s="7">
        <f>43054.5+27970</f>
        <v>71024.5</v>
      </c>
      <c r="N111" s="7">
        <f>165000+31450</f>
        <v>196450</v>
      </c>
      <c r="O111" s="7"/>
      <c r="P111" s="7">
        <f t="shared" si="1"/>
        <v>1425892.43</v>
      </c>
    </row>
    <row r="112" spans="1:16" ht="15">
      <c r="A112" s="25">
        <v>29902</v>
      </c>
      <c r="B112" s="26" t="s">
        <v>266</v>
      </c>
      <c r="C112" s="24">
        <v>350000</v>
      </c>
      <c r="D112" s="44"/>
      <c r="E112" s="7"/>
      <c r="F112" s="7"/>
      <c r="G112" s="7"/>
      <c r="H112" s="7"/>
      <c r="I112" s="7"/>
      <c r="J112" s="7">
        <v>221743</v>
      </c>
      <c r="K112" s="7"/>
      <c r="L112" s="7"/>
      <c r="M112" s="7"/>
      <c r="N112" s="7"/>
      <c r="O112" s="7"/>
      <c r="P112" s="7">
        <f t="shared" si="1"/>
        <v>221743</v>
      </c>
    </row>
    <row r="113" spans="1:16" ht="15">
      <c r="A113" s="25">
        <v>29903</v>
      </c>
      <c r="B113" s="26" t="s">
        <v>267</v>
      </c>
      <c r="C113" s="24">
        <v>7000000</v>
      </c>
      <c r="D113" s="44">
        <f>500000+252000</f>
        <v>752000</v>
      </c>
      <c r="E113" s="7">
        <v>761655.34</v>
      </c>
      <c r="F113" s="7">
        <v>2495</v>
      </c>
      <c r="G113" s="7"/>
      <c r="H113" s="7">
        <f>4000+1200</f>
        <v>5200</v>
      </c>
      <c r="I113" s="7">
        <f>180000+101239.95+17385+61500</f>
        <v>360124.95</v>
      </c>
      <c r="J113" s="7">
        <f>111942.47+247989+939900+897592.8+414000+35534.38</f>
        <v>2646958.65</v>
      </c>
      <c r="K113" s="7">
        <f>315595.51+15719</f>
        <v>331314.51</v>
      </c>
      <c r="L113" s="7">
        <v>9800</v>
      </c>
      <c r="M113" s="7">
        <f>8515+892226.4</f>
        <v>900741.4</v>
      </c>
      <c r="N113" s="7">
        <v>72277</v>
      </c>
      <c r="O113" s="7"/>
      <c r="P113" s="7">
        <f t="shared" si="1"/>
        <v>5842566.85</v>
      </c>
    </row>
    <row r="114" spans="1:16" ht="15">
      <c r="A114" s="25">
        <v>29904</v>
      </c>
      <c r="B114" s="26" t="s">
        <v>268</v>
      </c>
      <c r="C114" s="24">
        <v>1350000</v>
      </c>
      <c r="D114" s="44"/>
      <c r="E114" s="7">
        <v>0</v>
      </c>
      <c r="F114" s="7"/>
      <c r="G114" s="7"/>
      <c r="H114" s="7">
        <v>28195</v>
      </c>
      <c r="I114" s="7">
        <f>418200+6495</f>
        <v>424695</v>
      </c>
      <c r="J114" s="7">
        <f>3400+209000</f>
        <v>212400</v>
      </c>
      <c r="K114" s="7"/>
      <c r="L114" s="7"/>
      <c r="M114" s="7">
        <v>11100</v>
      </c>
      <c r="N114" s="7">
        <f>939900+19500</f>
        <v>959400</v>
      </c>
      <c r="O114" s="7"/>
      <c r="P114" s="7">
        <f t="shared" si="1"/>
        <v>1635790</v>
      </c>
    </row>
    <row r="115" spans="1:16" ht="15">
      <c r="A115" s="25">
        <v>29905</v>
      </c>
      <c r="B115" s="26" t="s">
        <v>269</v>
      </c>
      <c r="C115" s="24">
        <v>1000000</v>
      </c>
      <c r="D115" s="44"/>
      <c r="E115" s="7">
        <v>7700</v>
      </c>
      <c r="F115" s="7">
        <v>785</v>
      </c>
      <c r="G115" s="7"/>
      <c r="H115" s="7">
        <v>8440</v>
      </c>
      <c r="I115" s="7">
        <v>3850</v>
      </c>
      <c r="J115" s="7">
        <v>12800</v>
      </c>
      <c r="K115" s="7">
        <f>194290+165000+6900+69900+4465</f>
        <v>440555</v>
      </c>
      <c r="L115" s="7">
        <f>45810+59200</f>
        <v>105010</v>
      </c>
      <c r="M115" s="7">
        <v>3781</v>
      </c>
      <c r="N115" s="7">
        <v>297000</v>
      </c>
      <c r="O115" s="7"/>
      <c r="P115" s="7">
        <f t="shared" si="1"/>
        <v>879921</v>
      </c>
    </row>
    <row r="116" spans="1:16" ht="15">
      <c r="A116" s="25">
        <v>29906</v>
      </c>
      <c r="B116" s="26" t="s">
        <v>270</v>
      </c>
      <c r="C116" s="24">
        <v>200000</v>
      </c>
      <c r="D116" s="44">
        <v>56000</v>
      </c>
      <c r="E116" s="7">
        <v>15537.5</v>
      </c>
      <c r="F116" s="7"/>
      <c r="G116" s="7"/>
      <c r="H116" s="7">
        <v>53100</v>
      </c>
      <c r="I116" s="7"/>
      <c r="J116" s="7"/>
      <c r="K116" s="7"/>
      <c r="L116" s="7"/>
      <c r="M116" s="7"/>
      <c r="N116" s="7"/>
      <c r="O116" s="7"/>
      <c r="P116" s="7">
        <f t="shared" si="1"/>
        <v>124637.5</v>
      </c>
    </row>
    <row r="117" spans="1:16" ht="15">
      <c r="A117" s="25">
        <v>29907</v>
      </c>
      <c r="B117" s="26" t="s">
        <v>271</v>
      </c>
      <c r="C117" s="24">
        <v>300000</v>
      </c>
      <c r="D117" s="44"/>
      <c r="E117" s="7"/>
      <c r="F117" s="7"/>
      <c r="G117" s="7"/>
      <c r="H117" s="7"/>
      <c r="I117" s="7"/>
      <c r="J117" s="7"/>
      <c r="K117" s="7"/>
      <c r="L117" s="7"/>
      <c r="M117" s="7">
        <v>38280</v>
      </c>
      <c r="N117" s="7">
        <v>137811</v>
      </c>
      <c r="O117" s="7"/>
      <c r="P117" s="7">
        <f t="shared" si="1"/>
        <v>176091</v>
      </c>
    </row>
    <row r="118" spans="1:16" ht="15">
      <c r="A118" s="25">
        <v>29999</v>
      </c>
      <c r="B118" s="26" t="s">
        <v>272</v>
      </c>
      <c r="C118" s="24">
        <v>200000</v>
      </c>
      <c r="D118" s="44"/>
      <c r="E118" s="7"/>
      <c r="F118" s="7">
        <v>7200</v>
      </c>
      <c r="G118" s="7"/>
      <c r="H118" s="7">
        <v>35990</v>
      </c>
      <c r="I118" s="7">
        <f>25000+800</f>
        <v>25800</v>
      </c>
      <c r="J118" s="7"/>
      <c r="K118" s="7">
        <v>12000</v>
      </c>
      <c r="L118" s="7"/>
      <c r="M118" s="7">
        <v>24825</v>
      </c>
      <c r="N118" s="7">
        <f>68000+49769</f>
        <v>117769</v>
      </c>
      <c r="O118" s="7"/>
      <c r="P118" s="7">
        <f t="shared" si="1"/>
        <v>223584</v>
      </c>
    </row>
    <row r="119" spans="1:16" ht="15">
      <c r="A119" s="25"/>
      <c r="B119" s="26"/>
      <c r="C119" s="24"/>
      <c r="D119" s="44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>
        <f t="shared" si="1"/>
        <v>0</v>
      </c>
    </row>
    <row r="120" spans="1:16" ht="15">
      <c r="A120" s="19" t="s">
        <v>273</v>
      </c>
      <c r="B120" s="20" t="s">
        <v>274</v>
      </c>
      <c r="C120" s="21">
        <f>SUM(C122:C136)</f>
        <v>218551000</v>
      </c>
      <c r="D120" s="44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>
        <f t="shared" si="1"/>
        <v>0</v>
      </c>
    </row>
    <row r="121" spans="1:16" ht="15">
      <c r="A121" s="28">
        <v>501</v>
      </c>
      <c r="B121" s="23" t="s">
        <v>275</v>
      </c>
      <c r="C121" s="24"/>
      <c r="D121" s="44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>
        <f t="shared" si="1"/>
        <v>0</v>
      </c>
    </row>
    <row r="122" spans="1:16" ht="15">
      <c r="A122" s="25">
        <v>50102</v>
      </c>
      <c r="B122" s="26" t="s">
        <v>276</v>
      </c>
      <c r="C122" s="24">
        <v>50000000</v>
      </c>
      <c r="D122" s="44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>
        <f t="shared" si="1"/>
        <v>0</v>
      </c>
    </row>
    <row r="123" spans="1:16" ht="15">
      <c r="A123" s="25">
        <v>50103</v>
      </c>
      <c r="B123" s="26" t="s">
        <v>277</v>
      </c>
      <c r="C123" s="24">
        <v>2000000</v>
      </c>
      <c r="D123" s="44"/>
      <c r="E123" s="7"/>
      <c r="F123" s="7"/>
      <c r="G123" s="7"/>
      <c r="H123" s="7">
        <v>30500.21</v>
      </c>
      <c r="I123" s="7"/>
      <c r="J123" s="7"/>
      <c r="K123" s="7"/>
      <c r="L123" s="7"/>
      <c r="M123" s="7"/>
      <c r="N123" s="7"/>
      <c r="O123" s="7"/>
      <c r="P123" s="7">
        <f t="shared" si="1"/>
        <v>30500.21</v>
      </c>
    </row>
    <row r="124" spans="1:16" ht="15">
      <c r="A124" s="25">
        <v>50104</v>
      </c>
      <c r="B124" s="26" t="s">
        <v>278</v>
      </c>
      <c r="C124" s="24">
        <v>25500000</v>
      </c>
      <c r="D124" s="44"/>
      <c r="E124" s="7"/>
      <c r="F124" s="7"/>
      <c r="G124" s="7"/>
      <c r="H124" s="7"/>
      <c r="I124" s="7">
        <f>279000+247815</f>
        <v>526815</v>
      </c>
      <c r="J124" s="7">
        <v>78000</v>
      </c>
      <c r="K124" s="7">
        <v>617539.8</v>
      </c>
      <c r="L124" s="7"/>
      <c r="M124" s="7">
        <v>5693503.67</v>
      </c>
      <c r="N124" s="7"/>
      <c r="O124" s="7"/>
      <c r="P124" s="7">
        <f t="shared" si="1"/>
        <v>6915858.47</v>
      </c>
    </row>
    <row r="125" spans="1:16" ht="15">
      <c r="A125" s="25">
        <v>50105</v>
      </c>
      <c r="B125" s="26" t="s">
        <v>279</v>
      </c>
      <c r="C125" s="24">
        <v>55200000</v>
      </c>
      <c r="D125" s="44"/>
      <c r="E125" s="7"/>
      <c r="F125" s="7"/>
      <c r="G125" s="7"/>
      <c r="H125" s="7">
        <v>7315571.55</v>
      </c>
      <c r="I125" s="7"/>
      <c r="J125" s="7"/>
      <c r="K125" s="7"/>
      <c r="L125" s="7"/>
      <c r="M125" s="7">
        <f>609000+646383.71</f>
        <v>1255383.71</v>
      </c>
      <c r="N125" s="7">
        <f>1546182+1464115.2</f>
        <v>3010297.2</v>
      </c>
      <c r="O125" s="7"/>
      <c r="P125" s="7">
        <f t="shared" si="1"/>
        <v>11581252.46</v>
      </c>
    </row>
    <row r="126" spans="1:16" ht="15">
      <c r="A126" s="25">
        <v>50106</v>
      </c>
      <c r="B126" s="26" t="s">
        <v>280</v>
      </c>
      <c r="C126" s="24">
        <v>500000</v>
      </c>
      <c r="D126" s="44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>
        <f t="shared" si="1"/>
        <v>0</v>
      </c>
    </row>
    <row r="127" spans="1:16" ht="15">
      <c r="A127" s="25">
        <v>50107</v>
      </c>
      <c r="B127" s="26" t="s">
        <v>281</v>
      </c>
      <c r="C127" s="24">
        <v>0</v>
      </c>
      <c r="D127" s="44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>
        <f t="shared" si="1"/>
        <v>0</v>
      </c>
    </row>
    <row r="128" spans="1:16" ht="15">
      <c r="A128" s="25">
        <v>50199</v>
      </c>
      <c r="B128" s="26" t="s">
        <v>282</v>
      </c>
      <c r="C128" s="24">
        <v>3351000</v>
      </c>
      <c r="D128" s="44"/>
      <c r="E128" s="7"/>
      <c r="F128" s="7"/>
      <c r="G128" s="7"/>
      <c r="H128" s="7"/>
      <c r="I128" s="7"/>
      <c r="J128" s="7"/>
      <c r="K128" s="7"/>
      <c r="L128" s="7">
        <f>477000+192591.08</f>
        <v>669591.08</v>
      </c>
      <c r="M128" s="7">
        <v>154200</v>
      </c>
      <c r="N128" s="7"/>
      <c r="O128" s="7"/>
      <c r="P128" s="7">
        <f t="shared" si="1"/>
        <v>823791.08</v>
      </c>
    </row>
    <row r="129" spans="1:16" ht="15">
      <c r="A129" s="28">
        <v>502</v>
      </c>
      <c r="B129" s="23" t="s">
        <v>283</v>
      </c>
      <c r="C129" s="24"/>
      <c r="D129" s="44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>
        <f t="shared" si="1"/>
        <v>0</v>
      </c>
    </row>
    <row r="130" spans="1:16" ht="15">
      <c r="A130" s="25">
        <v>50201</v>
      </c>
      <c r="B130" s="26" t="s">
        <v>284</v>
      </c>
      <c r="C130" s="24">
        <v>30000000</v>
      </c>
      <c r="D130" s="44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>
        <f t="shared" si="1"/>
        <v>0</v>
      </c>
    </row>
    <row r="131" spans="1:16" ht="15">
      <c r="A131" s="25">
        <v>50207</v>
      </c>
      <c r="B131" s="26" t="s">
        <v>285</v>
      </c>
      <c r="C131" s="24">
        <v>45000000</v>
      </c>
      <c r="D131" s="44"/>
      <c r="E131" s="7"/>
      <c r="F131" s="7"/>
      <c r="G131" s="7"/>
      <c r="H131" s="7"/>
      <c r="I131" s="7"/>
      <c r="J131" s="7"/>
      <c r="K131" s="7"/>
      <c r="L131" s="7"/>
      <c r="M131" s="7">
        <v>28734976.68</v>
      </c>
      <c r="N131" s="7"/>
      <c r="O131" s="7"/>
      <c r="P131" s="7">
        <f t="shared" si="1"/>
        <v>28734976.68</v>
      </c>
    </row>
    <row r="132" spans="1:16" ht="15">
      <c r="A132" s="25">
        <v>50299</v>
      </c>
      <c r="B132" s="26" t="s">
        <v>286</v>
      </c>
      <c r="C132" s="24">
        <v>0</v>
      </c>
      <c r="D132" s="44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>
        <f t="shared" si="1"/>
        <v>0</v>
      </c>
    </row>
    <row r="133" spans="1:16" ht="15">
      <c r="A133" s="25"/>
      <c r="B133" s="26"/>
      <c r="C133" s="24"/>
      <c r="D133" s="44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>
        <f t="shared" si="1"/>
        <v>0</v>
      </c>
    </row>
    <row r="134" spans="1:16" ht="15">
      <c r="A134" s="28">
        <v>599</v>
      </c>
      <c r="B134" s="23" t="s">
        <v>287</v>
      </c>
      <c r="C134" s="24"/>
      <c r="D134" s="44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>
        <f aca="true" t="shared" si="2" ref="P134:P151">SUM(D134:O134)</f>
        <v>0</v>
      </c>
    </row>
    <row r="135" spans="1:16" ht="15">
      <c r="A135" s="25">
        <v>59903</v>
      </c>
      <c r="B135" s="26" t="s">
        <v>288</v>
      </c>
      <c r="C135" s="24">
        <v>7000000</v>
      </c>
      <c r="D135" s="44"/>
      <c r="E135" s="7"/>
      <c r="F135" s="7"/>
      <c r="G135" s="7"/>
      <c r="H135" s="7"/>
      <c r="I135" s="7"/>
      <c r="J135" s="7"/>
      <c r="K135" s="7"/>
      <c r="L135" s="7"/>
      <c r="M135" s="7">
        <v>2702745.88</v>
      </c>
      <c r="N135" s="7">
        <v>3820164.06</v>
      </c>
      <c r="O135" s="7"/>
      <c r="P135" s="7">
        <f t="shared" si="2"/>
        <v>6522909.9399999995</v>
      </c>
    </row>
    <row r="136" spans="1:16" ht="15">
      <c r="A136" s="25">
        <v>59999</v>
      </c>
      <c r="B136" s="26" t="s">
        <v>289</v>
      </c>
      <c r="C136" s="24">
        <v>0</v>
      </c>
      <c r="D136" s="44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>
        <f t="shared" si="2"/>
        <v>0</v>
      </c>
    </row>
    <row r="137" spans="1:16" ht="15">
      <c r="A137" s="25"/>
      <c r="B137" s="26"/>
      <c r="C137" s="24"/>
      <c r="D137" s="44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>
        <f t="shared" si="2"/>
        <v>0</v>
      </c>
    </row>
    <row r="138" spans="1:16" ht="15">
      <c r="A138" s="19" t="s">
        <v>290</v>
      </c>
      <c r="B138" s="20" t="s">
        <v>291</v>
      </c>
      <c r="C138" s="21">
        <f>SUM(C140:C153)</f>
        <v>89193000</v>
      </c>
      <c r="D138" s="44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>
        <f t="shared" si="2"/>
        <v>0</v>
      </c>
    </row>
    <row r="139" spans="1:16" ht="15">
      <c r="A139" s="28">
        <v>601</v>
      </c>
      <c r="B139" s="23" t="s">
        <v>292</v>
      </c>
      <c r="C139" s="24"/>
      <c r="D139" s="44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>
        <f t="shared" si="2"/>
        <v>0</v>
      </c>
    </row>
    <row r="140" spans="1:16" ht="15">
      <c r="A140" s="25">
        <v>60103</v>
      </c>
      <c r="B140" s="26" t="s">
        <v>293</v>
      </c>
      <c r="C140" s="24">
        <v>50193000</v>
      </c>
      <c r="D140" s="44">
        <v>1862177.74</v>
      </c>
      <c r="E140" s="7">
        <v>4062270.13</v>
      </c>
      <c r="F140" s="7">
        <f>6693054.32+1361389.91+11588669.93</f>
        <v>19643114.16</v>
      </c>
      <c r="G140" s="7">
        <v>4031616.64</v>
      </c>
      <c r="H140" s="7">
        <f>3375184.06+686520.54+3359494.35+683417.05</f>
        <v>8104616</v>
      </c>
      <c r="I140" s="7"/>
      <c r="J140" s="7">
        <f>3345293.74+680554.02</f>
        <v>4025847.7600000002</v>
      </c>
      <c r="K140" s="7">
        <f>3545459.93+721198.59+2860534.17+694197.18</f>
        <v>7821389.87</v>
      </c>
      <c r="L140" s="7">
        <f>3389071.32+689428.47</f>
        <v>4078499.79</v>
      </c>
      <c r="M140" s="7">
        <f>3383773.24+688360.31</f>
        <v>4072133.5500000003</v>
      </c>
      <c r="N140" s="7">
        <f>3496046.01+711174.17</f>
        <v>4207220.18</v>
      </c>
      <c r="O140" s="7"/>
      <c r="P140" s="7">
        <f t="shared" si="2"/>
        <v>61908885.81999999</v>
      </c>
    </row>
    <row r="141" spans="1:16" ht="15">
      <c r="A141" s="28">
        <v>602</v>
      </c>
      <c r="B141" s="23" t="s">
        <v>294</v>
      </c>
      <c r="C141" s="24">
        <v>0</v>
      </c>
      <c r="D141" s="44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>
        <f t="shared" si="2"/>
        <v>0</v>
      </c>
    </row>
    <row r="142" spans="1:16" ht="15">
      <c r="A142" s="25">
        <v>60201</v>
      </c>
      <c r="B142" s="26" t="s">
        <v>295</v>
      </c>
      <c r="C142" s="24">
        <f>2000000-1000000-1000000</f>
        <v>0</v>
      </c>
      <c r="D142" s="44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>
        <f t="shared" si="2"/>
        <v>0</v>
      </c>
    </row>
    <row r="143" spans="1:16" ht="15">
      <c r="A143" s="25">
        <v>60202</v>
      </c>
      <c r="B143" s="26" t="s">
        <v>296</v>
      </c>
      <c r="C143" s="24">
        <v>500000</v>
      </c>
      <c r="D143" s="44"/>
      <c r="E143" s="7"/>
      <c r="F143" s="7"/>
      <c r="G143" s="7"/>
      <c r="H143" s="7"/>
      <c r="I143" s="7"/>
      <c r="J143" s="7"/>
      <c r="K143" s="7"/>
      <c r="L143" s="7"/>
      <c r="M143" s="7">
        <v>520660</v>
      </c>
      <c r="N143" s="7"/>
      <c r="O143" s="7"/>
      <c r="P143" s="7">
        <f t="shared" si="2"/>
        <v>520660</v>
      </c>
    </row>
    <row r="144" spans="1:16" ht="15">
      <c r="A144" s="25">
        <v>60299</v>
      </c>
      <c r="B144" s="26" t="s">
        <v>297</v>
      </c>
      <c r="C144" s="24">
        <v>0</v>
      </c>
      <c r="D144" s="44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>
        <f t="shared" si="2"/>
        <v>0</v>
      </c>
    </row>
    <row r="145" spans="1:16" ht="15">
      <c r="A145" s="28">
        <v>603</v>
      </c>
      <c r="B145" s="23" t="s">
        <v>298</v>
      </c>
      <c r="C145" s="24"/>
      <c r="D145" s="44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>
        <f t="shared" si="2"/>
        <v>0</v>
      </c>
    </row>
    <row r="146" spans="1:16" ht="15">
      <c r="A146" s="25">
        <v>60301</v>
      </c>
      <c r="B146" s="26" t="s">
        <v>299</v>
      </c>
      <c r="C146" s="24">
        <v>18000000</v>
      </c>
      <c r="D146" s="44">
        <v>551112.9</v>
      </c>
      <c r="E146" s="7"/>
      <c r="F146" s="7"/>
      <c r="G146" s="7"/>
      <c r="H146" s="7">
        <f>401609.3+5955969.83</f>
        <v>6357579.13</v>
      </c>
      <c r="I146" s="7"/>
      <c r="J146" s="7"/>
      <c r="K146" s="7"/>
      <c r="L146" s="7">
        <v>12831372.85</v>
      </c>
      <c r="M146" s="7"/>
      <c r="N146" s="7"/>
      <c r="O146" s="7"/>
      <c r="P146" s="7">
        <f t="shared" si="2"/>
        <v>19740064.88</v>
      </c>
    </row>
    <row r="147" spans="1:16" ht="15">
      <c r="A147" s="25">
        <v>60399</v>
      </c>
      <c r="B147" s="26" t="s">
        <v>300</v>
      </c>
      <c r="C147" s="24">
        <v>17000000</v>
      </c>
      <c r="D147" s="44">
        <f>636306+426880</f>
        <v>1063186</v>
      </c>
      <c r="E147" s="7">
        <v>1710651.24</v>
      </c>
      <c r="F147" s="7">
        <f>1168285+839075</f>
        <v>2007360</v>
      </c>
      <c r="G147" s="7">
        <f>1023373+1052809</f>
        <v>2076182</v>
      </c>
      <c r="H147" s="7">
        <f>1574385+1439076</f>
        <v>3013461</v>
      </c>
      <c r="I147" s="7">
        <f>1388040.33+459641</f>
        <v>1847681.33</v>
      </c>
      <c r="J147" s="7">
        <f>783026+672961</f>
        <v>1455987</v>
      </c>
      <c r="K147" s="7">
        <f>493910+1542856</f>
        <v>2036766</v>
      </c>
      <c r="L147" s="7">
        <f>1003414+1465450</f>
        <v>2468864</v>
      </c>
      <c r="M147" s="7">
        <f>1538300+1010214</f>
        <v>2548514</v>
      </c>
      <c r="N147" s="7">
        <f>1045388.95+353114</f>
        <v>1398502.95</v>
      </c>
      <c r="O147" s="7"/>
      <c r="P147" s="7">
        <f t="shared" si="2"/>
        <v>21627155.52</v>
      </c>
    </row>
    <row r="148" spans="1:16" ht="15">
      <c r="A148" s="28">
        <v>604</v>
      </c>
      <c r="B148" s="23" t="s">
        <v>301</v>
      </c>
      <c r="C148" s="24" t="s">
        <v>42</v>
      </c>
      <c r="D148" s="44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7">
        <f t="shared" si="2"/>
        <v>0</v>
      </c>
    </row>
    <row r="149" spans="1:16" ht="15">
      <c r="A149" s="25">
        <v>60402</v>
      </c>
      <c r="B149" s="26" t="s">
        <v>302</v>
      </c>
      <c r="C149" s="24">
        <v>0</v>
      </c>
      <c r="D149" s="44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7">
        <f t="shared" si="2"/>
        <v>0</v>
      </c>
    </row>
    <row r="150" spans="1:16" ht="15">
      <c r="A150" s="28">
        <v>606</v>
      </c>
      <c r="B150" s="23" t="s">
        <v>303</v>
      </c>
      <c r="C150" s="24"/>
      <c r="D150" s="42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>
        <f t="shared" si="2"/>
        <v>0</v>
      </c>
    </row>
    <row r="151" spans="1:16" ht="15">
      <c r="A151" s="25">
        <v>60601</v>
      </c>
      <c r="B151" s="26" t="s">
        <v>304</v>
      </c>
      <c r="C151" s="24">
        <v>500000</v>
      </c>
      <c r="D151" s="42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>
        <f t="shared" si="2"/>
        <v>0</v>
      </c>
    </row>
    <row r="152" spans="1:16" ht="15">
      <c r="A152" s="28">
        <v>607</v>
      </c>
      <c r="B152" s="23" t="s">
        <v>307</v>
      </c>
      <c r="C152" s="24"/>
      <c r="D152" s="42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5">
      <c r="A153" s="25">
        <v>60701</v>
      </c>
      <c r="B153" s="26" t="s">
        <v>308</v>
      </c>
      <c r="C153" s="24">
        <v>3000000</v>
      </c>
      <c r="D153" s="42"/>
      <c r="E153" s="7">
        <v>2810465.85</v>
      </c>
      <c r="F153" s="7"/>
      <c r="G153" s="7"/>
      <c r="H153" s="7"/>
      <c r="I153" s="7"/>
      <c r="J153" s="7"/>
      <c r="K153" s="7">
        <v>0</v>
      </c>
      <c r="L153" s="7"/>
      <c r="M153" s="7"/>
      <c r="N153" s="7"/>
      <c r="O153" s="7"/>
      <c r="P153" s="7"/>
    </row>
    <row r="154" spans="1:16" ht="15.75" thickBot="1">
      <c r="A154" s="25"/>
      <c r="B154" s="26"/>
      <c r="C154" s="24"/>
      <c r="D154" s="42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.75" thickBot="1">
      <c r="A155" s="26"/>
      <c r="B155" s="29" t="s">
        <v>309</v>
      </c>
      <c r="C155" s="30">
        <f>+C138+C120+C87+C31+C4</f>
        <v>6134000000</v>
      </c>
      <c r="D155" s="45">
        <f>SUM(D4:D153)</f>
        <v>626071714.8599999</v>
      </c>
      <c r="E155" s="45">
        <f>SUM(E4:E153)</f>
        <v>438576852.99</v>
      </c>
      <c r="F155" s="31">
        <f aca="true" t="shared" si="3" ref="F155:O155">SUM(F6:F151)</f>
        <v>390293949.24000007</v>
      </c>
      <c r="G155" s="31">
        <f t="shared" si="3"/>
        <v>359786996.72</v>
      </c>
      <c r="H155" s="31">
        <f t="shared" si="3"/>
        <v>401689846.21</v>
      </c>
      <c r="I155" s="31">
        <f t="shared" si="3"/>
        <v>381604433.01</v>
      </c>
      <c r="J155" s="31">
        <f t="shared" si="3"/>
        <v>380199316.78999996</v>
      </c>
      <c r="K155" s="31">
        <f>SUM(K6:K154)</f>
        <v>402278708.31</v>
      </c>
      <c r="L155" s="31">
        <f t="shared" si="3"/>
        <v>378888654.08</v>
      </c>
      <c r="M155" s="31">
        <f t="shared" si="3"/>
        <v>425079988.8299999</v>
      </c>
      <c r="N155" s="31">
        <f t="shared" si="3"/>
        <v>397593962.77</v>
      </c>
      <c r="O155" s="31">
        <f t="shared" si="3"/>
        <v>0</v>
      </c>
      <c r="P155" s="7">
        <f>SUM(D155:O155)</f>
        <v>4582064423.809999</v>
      </c>
    </row>
    <row r="156" spans="3:16" ht="15">
      <c r="C156" s="32"/>
      <c r="D156" s="44" t="s">
        <v>42</v>
      </c>
      <c r="E156" s="7" t="s">
        <v>42</v>
      </c>
      <c r="F156" s="7"/>
      <c r="G156" s="7"/>
      <c r="H156" s="7" t="s">
        <v>42</v>
      </c>
      <c r="I156" s="7" t="s">
        <v>42</v>
      </c>
      <c r="J156" s="7" t="s">
        <v>42</v>
      </c>
      <c r="K156" s="7"/>
      <c r="L156" s="7" t="s">
        <v>42</v>
      </c>
      <c r="M156" s="7" t="s">
        <v>42</v>
      </c>
      <c r="N156" s="7"/>
      <c r="O156" s="7"/>
      <c r="P156" s="7"/>
    </row>
    <row r="157" spans="3:16" ht="15">
      <c r="C157" s="32"/>
      <c r="D157" s="44" t="s">
        <v>42</v>
      </c>
      <c r="E157" s="7" t="s">
        <v>42</v>
      </c>
      <c r="F157" s="7" t="s">
        <v>42</v>
      </c>
      <c r="G157" s="7" t="s">
        <v>42</v>
      </c>
      <c r="H157" s="7" t="s">
        <v>42</v>
      </c>
      <c r="I157" s="7" t="s">
        <v>42</v>
      </c>
      <c r="J157" s="7" t="s">
        <v>42</v>
      </c>
      <c r="K157" s="7" t="s">
        <v>42</v>
      </c>
      <c r="L157" s="7" t="s">
        <v>42</v>
      </c>
      <c r="M157" s="7" t="s">
        <v>42</v>
      </c>
      <c r="N157" s="7" t="s">
        <v>42</v>
      </c>
      <c r="O157" s="7" t="s">
        <v>42</v>
      </c>
      <c r="P157" s="33">
        <f>SUM(D155:O155)</f>
        <v>4582064423.809999</v>
      </c>
    </row>
    <row r="160" ht="15">
      <c r="P160" s="3" t="s">
        <v>42</v>
      </c>
    </row>
  </sheetData>
  <sheetProtection/>
  <printOptions/>
  <pageMargins left="0.7" right="0.7" top="0.75" bottom="0.75" header="0.3" footer="0.3"/>
  <pageSetup horizontalDpi="600" verticalDpi="600" orientation="landscape" paperSize="5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227"/>
  <sheetViews>
    <sheetView zoomScalePageLayoutView="0" workbookViewId="0" topLeftCell="A23">
      <selection activeCell="D41" sqref="D41"/>
    </sheetView>
  </sheetViews>
  <sheetFormatPr defaultColWidth="11.421875" defaultRowHeight="15"/>
  <cols>
    <col min="1" max="1" width="38.28125" style="0" bestFit="1" customWidth="1"/>
    <col min="2" max="2" width="12.00390625" style="0" customWidth="1"/>
    <col min="3" max="3" width="20.00390625" style="0" bestFit="1" customWidth="1"/>
    <col min="4" max="4" width="50.8515625" style="0" customWidth="1"/>
    <col min="5" max="5" width="173.57421875" style="0" bestFit="1" customWidth="1"/>
  </cols>
  <sheetData>
    <row r="1" spans="1:9" ht="15">
      <c r="A1" s="34" t="s">
        <v>319</v>
      </c>
      <c r="B1" s="35"/>
      <c r="C1" s="9"/>
      <c r="D1" s="9"/>
      <c r="E1" s="9"/>
      <c r="F1" s="7"/>
      <c r="G1" s="7"/>
      <c r="H1" s="9"/>
      <c r="I1" s="9"/>
    </row>
    <row r="2" spans="1:9" ht="15">
      <c r="A2" s="29" t="s">
        <v>320</v>
      </c>
      <c r="B2" s="35"/>
      <c r="C2" s="9"/>
      <c r="D2" s="9"/>
      <c r="E2" s="39"/>
      <c r="F2" s="7"/>
      <c r="G2" s="7"/>
      <c r="H2" s="9"/>
      <c r="I2" s="9"/>
    </row>
    <row r="3" spans="1:9" ht="15">
      <c r="A3" s="29" t="s">
        <v>321</v>
      </c>
      <c r="B3" s="35"/>
      <c r="C3" s="9"/>
      <c r="D3" s="9"/>
      <c r="E3" s="39"/>
      <c r="F3" s="7"/>
      <c r="G3" s="7"/>
      <c r="H3" s="9"/>
      <c r="I3" s="9"/>
    </row>
    <row r="4" spans="1:23" ht="15">
      <c r="A4" s="36" t="s">
        <v>42</v>
      </c>
      <c r="B4" s="37" t="s">
        <v>42</v>
      </c>
      <c r="C4" s="9"/>
      <c r="D4" s="9"/>
      <c r="E4" s="39"/>
      <c r="F4" s="7"/>
      <c r="G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5">
      <c r="A5" s="36" t="s">
        <v>322</v>
      </c>
      <c r="B5" s="37">
        <v>43041</v>
      </c>
      <c r="C5" s="38" t="s">
        <v>323</v>
      </c>
      <c r="D5" s="9" t="s">
        <v>324</v>
      </c>
      <c r="E5" s="39" t="s">
        <v>325</v>
      </c>
      <c r="F5" s="41">
        <v>140860</v>
      </c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5">
      <c r="A6" s="36" t="s">
        <v>326</v>
      </c>
      <c r="B6" s="37">
        <v>43045</v>
      </c>
      <c r="C6" s="38" t="s">
        <v>323</v>
      </c>
      <c r="D6" s="9" t="s">
        <v>327</v>
      </c>
      <c r="E6" s="9" t="s">
        <v>328</v>
      </c>
      <c r="F6" s="41">
        <v>5795</v>
      </c>
      <c r="G6" s="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5">
      <c r="A7" s="36" t="s">
        <v>329</v>
      </c>
      <c r="B7" s="37">
        <v>43045</v>
      </c>
      <c r="C7" s="38" t="s">
        <v>323</v>
      </c>
      <c r="D7" s="9" t="s">
        <v>330</v>
      </c>
      <c r="E7" s="9" t="s">
        <v>331</v>
      </c>
      <c r="F7" s="41">
        <v>28351.010000000002</v>
      </c>
      <c r="G7" s="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5">
      <c r="A8" s="36" t="s">
        <v>332</v>
      </c>
      <c r="B8" s="37">
        <v>43045</v>
      </c>
      <c r="C8" s="38" t="s">
        <v>323</v>
      </c>
      <c r="D8" s="9" t="s">
        <v>333</v>
      </c>
      <c r="E8" s="9" t="s">
        <v>334</v>
      </c>
      <c r="F8" s="41">
        <v>26765</v>
      </c>
      <c r="G8" s="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5">
      <c r="A9" s="36" t="s">
        <v>335</v>
      </c>
      <c r="B9" s="37">
        <v>43046</v>
      </c>
      <c r="C9" s="38" t="s">
        <v>323</v>
      </c>
      <c r="D9" s="9" t="s">
        <v>336</v>
      </c>
      <c r="E9" s="39" t="s">
        <v>337</v>
      </c>
      <c r="F9" s="41">
        <v>136880</v>
      </c>
      <c r="G9" s="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5">
      <c r="A10" s="36" t="s">
        <v>338</v>
      </c>
      <c r="B10" s="37">
        <v>43049</v>
      </c>
      <c r="C10" s="38" t="s">
        <v>323</v>
      </c>
      <c r="D10" s="9" t="s">
        <v>339</v>
      </c>
      <c r="E10" s="39" t="s">
        <v>340</v>
      </c>
      <c r="F10" s="41">
        <v>144750</v>
      </c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5">
      <c r="A11" s="36" t="s">
        <v>341</v>
      </c>
      <c r="B11" s="37">
        <v>43049</v>
      </c>
      <c r="C11" s="38" t="s">
        <v>323</v>
      </c>
      <c r="D11" s="9" t="s">
        <v>342</v>
      </c>
      <c r="E11" s="39" t="s">
        <v>340</v>
      </c>
      <c r="F11" s="41">
        <v>144750</v>
      </c>
      <c r="G11" s="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5">
      <c r="A12" s="36" t="s">
        <v>343</v>
      </c>
      <c r="B12" s="37">
        <v>43049</v>
      </c>
      <c r="C12" s="38" t="s">
        <v>323</v>
      </c>
      <c r="D12" s="9" t="s">
        <v>344</v>
      </c>
      <c r="E12" s="9" t="s">
        <v>345</v>
      </c>
      <c r="F12" s="41">
        <v>24535</v>
      </c>
      <c r="G12" s="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5">
      <c r="A13" s="36" t="s">
        <v>346</v>
      </c>
      <c r="B13" s="37">
        <v>43049</v>
      </c>
      <c r="C13" s="38" t="s">
        <v>323</v>
      </c>
      <c r="D13" s="9" t="s">
        <v>347</v>
      </c>
      <c r="E13" s="39" t="s">
        <v>348</v>
      </c>
      <c r="F13" s="41">
        <v>144750</v>
      </c>
      <c r="G13" s="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5">
      <c r="A14" s="36" t="s">
        <v>349</v>
      </c>
      <c r="B14" s="37">
        <v>43049</v>
      </c>
      <c r="C14" s="38" t="s">
        <v>323</v>
      </c>
      <c r="D14" s="9" t="s">
        <v>350</v>
      </c>
      <c r="E14" s="39" t="s">
        <v>23</v>
      </c>
      <c r="F14" s="41">
        <v>5150</v>
      </c>
      <c r="G14" s="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">
      <c r="A15" s="36" t="s">
        <v>351</v>
      </c>
      <c r="B15" s="37">
        <v>43053</v>
      </c>
      <c r="C15" s="38" t="s">
        <v>323</v>
      </c>
      <c r="D15" s="9" t="s">
        <v>352</v>
      </c>
      <c r="E15" s="39" t="s">
        <v>353</v>
      </c>
      <c r="F15" s="41">
        <v>65550</v>
      </c>
      <c r="G15" s="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">
      <c r="A16" s="36" t="s">
        <v>354</v>
      </c>
      <c r="B16" s="37">
        <v>43053</v>
      </c>
      <c r="C16" s="38" t="s">
        <v>323</v>
      </c>
      <c r="D16" s="9" t="s">
        <v>355</v>
      </c>
      <c r="E16" s="39" t="s">
        <v>353</v>
      </c>
      <c r="F16" s="41">
        <v>65550</v>
      </c>
      <c r="G16" s="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">
      <c r="A17" s="36" t="s">
        <v>356</v>
      </c>
      <c r="B17" s="37">
        <v>43053</v>
      </c>
      <c r="C17" s="38" t="s">
        <v>323</v>
      </c>
      <c r="D17" s="9" t="s">
        <v>350</v>
      </c>
      <c r="E17" s="39" t="s">
        <v>357</v>
      </c>
      <c r="F17" s="41">
        <v>65550</v>
      </c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5">
      <c r="A18" s="36" t="s">
        <v>358</v>
      </c>
      <c r="B18" s="37">
        <v>43053</v>
      </c>
      <c r="C18" s="38" t="s">
        <v>323</v>
      </c>
      <c r="D18" s="9" t="s">
        <v>324</v>
      </c>
      <c r="E18" s="39" t="s">
        <v>359</v>
      </c>
      <c r="F18" s="41">
        <v>108615</v>
      </c>
      <c r="G18" s="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5">
      <c r="A19" s="36" t="s">
        <v>360</v>
      </c>
      <c r="B19" s="37">
        <v>43054</v>
      </c>
      <c r="C19" s="38" t="s">
        <v>323</v>
      </c>
      <c r="D19" s="9" t="s">
        <v>336</v>
      </c>
      <c r="E19" s="39" t="s">
        <v>361</v>
      </c>
      <c r="F19" s="41">
        <v>113295</v>
      </c>
      <c r="G19" s="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5">
      <c r="A20" s="36" t="s">
        <v>362</v>
      </c>
      <c r="B20" s="37">
        <v>43054</v>
      </c>
      <c r="C20" s="38" t="s">
        <v>323</v>
      </c>
      <c r="D20" s="9" t="s">
        <v>363</v>
      </c>
      <c r="E20" s="39" t="s">
        <v>364</v>
      </c>
      <c r="F20" s="41">
        <v>84750</v>
      </c>
      <c r="G20" s="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5">
      <c r="A21" s="36" t="s">
        <v>365</v>
      </c>
      <c r="B21" s="37">
        <v>43054</v>
      </c>
      <c r="C21" s="38" t="s">
        <v>323</v>
      </c>
      <c r="D21" s="9" t="s">
        <v>366</v>
      </c>
      <c r="E21" s="39" t="s">
        <v>364</v>
      </c>
      <c r="F21" s="41">
        <v>84750</v>
      </c>
      <c r="G21" s="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5">
      <c r="A22" s="36" t="s">
        <v>367</v>
      </c>
      <c r="B22" s="37">
        <v>43054</v>
      </c>
      <c r="C22" s="38" t="s">
        <v>323</v>
      </c>
      <c r="D22" s="9" t="s">
        <v>368</v>
      </c>
      <c r="E22" s="39" t="s">
        <v>369</v>
      </c>
      <c r="F22" s="41">
        <v>36050</v>
      </c>
      <c r="G22" s="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5">
      <c r="A23" s="36" t="s">
        <v>370</v>
      </c>
      <c r="B23" s="37">
        <v>43054</v>
      </c>
      <c r="C23" s="38" t="s">
        <v>323</v>
      </c>
      <c r="D23" s="9" t="s">
        <v>371</v>
      </c>
      <c r="E23" s="39" t="s">
        <v>372</v>
      </c>
      <c r="F23" s="41">
        <v>36050</v>
      </c>
      <c r="G23" s="7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5">
      <c r="A24" s="36" t="s">
        <v>373</v>
      </c>
      <c r="B24" s="37">
        <v>43054</v>
      </c>
      <c r="C24" s="38" t="s">
        <v>323</v>
      </c>
      <c r="D24" s="9" t="s">
        <v>374</v>
      </c>
      <c r="E24" s="39" t="s">
        <v>375</v>
      </c>
      <c r="F24" s="41">
        <v>43400</v>
      </c>
      <c r="G24" s="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5">
      <c r="A25" s="36" t="s">
        <v>376</v>
      </c>
      <c r="B25" s="37">
        <v>43054</v>
      </c>
      <c r="C25" s="38" t="s">
        <v>323</v>
      </c>
      <c r="D25" s="9" t="s">
        <v>377</v>
      </c>
      <c r="E25" s="39" t="s">
        <v>375</v>
      </c>
      <c r="F25" s="41">
        <v>43400</v>
      </c>
      <c r="G25" s="7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5">
      <c r="A26" s="36" t="s">
        <v>378</v>
      </c>
      <c r="B26" s="37">
        <v>43054</v>
      </c>
      <c r="C26" s="38" t="s">
        <v>323</v>
      </c>
      <c r="D26" s="9" t="s">
        <v>379</v>
      </c>
      <c r="E26" s="9" t="s">
        <v>380</v>
      </c>
      <c r="F26" s="41">
        <v>50000</v>
      </c>
      <c r="G26" s="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5">
      <c r="A27" s="36" t="s">
        <v>381</v>
      </c>
      <c r="B27" s="37">
        <v>43055</v>
      </c>
      <c r="C27" s="38" t="s">
        <v>323</v>
      </c>
      <c r="D27" s="9" t="s">
        <v>382</v>
      </c>
      <c r="E27" s="39" t="s">
        <v>24</v>
      </c>
      <c r="F27" s="41">
        <v>44950</v>
      </c>
      <c r="G27" s="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5">
      <c r="A28" s="36" t="s">
        <v>383</v>
      </c>
      <c r="B28" s="37">
        <v>43059</v>
      </c>
      <c r="C28" s="38" t="s">
        <v>323</v>
      </c>
      <c r="D28" s="9" t="s">
        <v>384</v>
      </c>
      <c r="E28" s="39" t="s">
        <v>385</v>
      </c>
      <c r="F28" s="41">
        <v>47600</v>
      </c>
      <c r="G28" s="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5">
      <c r="A29" s="36" t="s">
        <v>386</v>
      </c>
      <c r="B29" s="37">
        <v>43059</v>
      </c>
      <c r="C29" s="38" t="s">
        <v>323</v>
      </c>
      <c r="D29" s="9" t="s">
        <v>387</v>
      </c>
      <c r="E29" s="9" t="s">
        <v>388</v>
      </c>
      <c r="F29" s="41">
        <v>140650</v>
      </c>
      <c r="G29" s="7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5">
      <c r="A30" s="36" t="s">
        <v>389</v>
      </c>
      <c r="B30" s="37">
        <v>43059</v>
      </c>
      <c r="C30" s="38" t="s">
        <v>323</v>
      </c>
      <c r="D30" s="9" t="s">
        <v>390</v>
      </c>
      <c r="E30" s="39" t="s">
        <v>385</v>
      </c>
      <c r="F30" s="41">
        <v>47600</v>
      </c>
      <c r="G30" s="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">
      <c r="A31" s="36" t="s">
        <v>391</v>
      </c>
      <c r="B31" s="37">
        <v>43060</v>
      </c>
      <c r="C31" s="38" t="s">
        <v>323</v>
      </c>
      <c r="D31" s="9" t="s">
        <v>392</v>
      </c>
      <c r="E31" s="9" t="s">
        <v>393</v>
      </c>
      <c r="F31" s="41">
        <v>16134</v>
      </c>
      <c r="G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5">
      <c r="A32" s="36" t="s">
        <v>394</v>
      </c>
      <c r="B32" s="37">
        <v>43060</v>
      </c>
      <c r="C32" s="38" t="s">
        <v>323</v>
      </c>
      <c r="D32" s="9" t="s">
        <v>382</v>
      </c>
      <c r="E32" s="9" t="s">
        <v>388</v>
      </c>
      <c r="F32" s="41">
        <v>94350</v>
      </c>
      <c r="G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5">
      <c r="A33" s="36" t="s">
        <v>395</v>
      </c>
      <c r="B33" s="37">
        <v>43060</v>
      </c>
      <c r="C33" s="38" t="s">
        <v>323</v>
      </c>
      <c r="D33" s="9" t="s">
        <v>396</v>
      </c>
      <c r="E33" s="39" t="s">
        <v>385</v>
      </c>
      <c r="F33" s="41">
        <v>47600</v>
      </c>
      <c r="G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5">
      <c r="A34" s="36" t="s">
        <v>397</v>
      </c>
      <c r="B34" s="37">
        <v>43060</v>
      </c>
      <c r="C34" s="38" t="s">
        <v>323</v>
      </c>
      <c r="D34" s="9" t="s">
        <v>398</v>
      </c>
      <c r="E34" s="39" t="s">
        <v>385</v>
      </c>
      <c r="F34" s="41">
        <v>47600</v>
      </c>
      <c r="G34" s="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5">
      <c r="A35" s="36" t="s">
        <v>399</v>
      </c>
      <c r="B35" s="37">
        <v>43060</v>
      </c>
      <c r="C35" s="38" t="s">
        <v>323</v>
      </c>
      <c r="D35" s="9" t="s">
        <v>400</v>
      </c>
      <c r="E35" s="39" t="s">
        <v>401</v>
      </c>
      <c r="F35" s="41">
        <v>47600</v>
      </c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5">
      <c r="A36" s="36" t="s">
        <v>402</v>
      </c>
      <c r="B36" s="37">
        <v>43061</v>
      </c>
      <c r="C36" s="38" t="s">
        <v>323</v>
      </c>
      <c r="D36" s="9" t="s">
        <v>403</v>
      </c>
      <c r="E36" s="39" t="s">
        <v>404</v>
      </c>
      <c r="F36" s="41">
        <v>47600</v>
      </c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5">
      <c r="A37" s="36" t="s">
        <v>405</v>
      </c>
      <c r="B37" s="37">
        <v>43061</v>
      </c>
      <c r="C37" s="38" t="s">
        <v>323</v>
      </c>
      <c r="D37" s="9" t="s">
        <v>406</v>
      </c>
      <c r="E37" s="39" t="s">
        <v>407</v>
      </c>
      <c r="F37" s="41">
        <v>47600</v>
      </c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5">
      <c r="A38" s="36" t="s">
        <v>408</v>
      </c>
      <c r="B38" s="37">
        <v>43061</v>
      </c>
      <c r="C38" s="38" t="s">
        <v>323</v>
      </c>
      <c r="D38" s="9" t="s">
        <v>409</v>
      </c>
      <c r="E38" s="39" t="s">
        <v>385</v>
      </c>
      <c r="F38" s="41">
        <v>47600</v>
      </c>
      <c r="G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5">
      <c r="A39" s="36" t="s">
        <v>410</v>
      </c>
      <c r="B39" s="37">
        <v>43063</v>
      </c>
      <c r="C39" s="38" t="s">
        <v>323</v>
      </c>
      <c r="D39" s="9" t="s">
        <v>411</v>
      </c>
      <c r="E39" s="39" t="s">
        <v>412</v>
      </c>
      <c r="F39" s="41">
        <v>167550</v>
      </c>
      <c r="G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5">
      <c r="A40" s="36" t="s">
        <v>413</v>
      </c>
      <c r="B40" s="37">
        <v>43063</v>
      </c>
      <c r="C40" s="38" t="s">
        <v>323</v>
      </c>
      <c r="D40" s="9" t="s">
        <v>414</v>
      </c>
      <c r="E40" s="39" t="s">
        <v>415</v>
      </c>
      <c r="F40" s="41">
        <v>94500</v>
      </c>
      <c r="G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5">
      <c r="A41" s="36" t="s">
        <v>416</v>
      </c>
      <c r="B41" s="37">
        <v>43063</v>
      </c>
      <c r="C41" s="38" t="s">
        <v>323</v>
      </c>
      <c r="D41" s="9" t="s">
        <v>352</v>
      </c>
      <c r="E41" s="39" t="s">
        <v>417</v>
      </c>
      <c r="F41" s="41">
        <v>94500</v>
      </c>
      <c r="G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5">
      <c r="A42" s="36" t="s">
        <v>418</v>
      </c>
      <c r="B42" s="37">
        <v>43063</v>
      </c>
      <c r="C42" s="38" t="s">
        <v>323</v>
      </c>
      <c r="D42" s="9" t="s">
        <v>355</v>
      </c>
      <c r="E42" s="39" t="s">
        <v>417</v>
      </c>
      <c r="F42" s="41">
        <v>94500</v>
      </c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5">
      <c r="A43" s="36" t="s">
        <v>419</v>
      </c>
      <c r="B43" s="37">
        <v>43063</v>
      </c>
      <c r="C43" s="38" t="s">
        <v>323</v>
      </c>
      <c r="D43" s="9" t="s">
        <v>420</v>
      </c>
      <c r="E43" s="39" t="s">
        <v>421</v>
      </c>
      <c r="F43" s="41">
        <v>112500</v>
      </c>
      <c r="G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5">
      <c r="A44" s="36" t="s">
        <v>422</v>
      </c>
      <c r="B44" s="37">
        <v>43063</v>
      </c>
      <c r="C44" s="38" t="s">
        <v>323</v>
      </c>
      <c r="D44" s="9" t="s">
        <v>363</v>
      </c>
      <c r="E44" s="39" t="s">
        <v>412</v>
      </c>
      <c r="F44" s="41">
        <v>243950</v>
      </c>
      <c r="G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5">
      <c r="A45" s="36" t="s">
        <v>423</v>
      </c>
      <c r="B45" s="37">
        <v>43063</v>
      </c>
      <c r="C45" s="38" t="s">
        <v>323</v>
      </c>
      <c r="D45" s="9" t="s">
        <v>424</v>
      </c>
      <c r="E45" s="39" t="s">
        <v>412</v>
      </c>
      <c r="F45" s="41">
        <v>184670</v>
      </c>
      <c r="G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5">
      <c r="A46" s="36" t="s">
        <v>425</v>
      </c>
      <c r="B46" s="37">
        <v>43063</v>
      </c>
      <c r="C46" s="38" t="s">
        <v>323</v>
      </c>
      <c r="D46" s="9" t="s">
        <v>426</v>
      </c>
      <c r="E46" s="39" t="s">
        <v>412</v>
      </c>
      <c r="F46" s="41">
        <v>220150</v>
      </c>
      <c r="G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5">
      <c r="A47" s="36" t="s">
        <v>427</v>
      </c>
      <c r="B47" s="37">
        <v>43063</v>
      </c>
      <c r="C47" s="38" t="s">
        <v>323</v>
      </c>
      <c r="D47" s="9" t="s">
        <v>428</v>
      </c>
      <c r="E47" s="39" t="s">
        <v>412</v>
      </c>
      <c r="F47" s="41">
        <v>252850</v>
      </c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5">
      <c r="A48" s="36" t="s">
        <v>429</v>
      </c>
      <c r="B48" s="37">
        <v>43066</v>
      </c>
      <c r="C48" s="38" t="s">
        <v>323</v>
      </c>
      <c r="D48" s="9" t="s">
        <v>336</v>
      </c>
      <c r="E48" s="39" t="s">
        <v>430</v>
      </c>
      <c r="F48" s="41">
        <v>144470</v>
      </c>
      <c r="G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5">
      <c r="A49" s="36" t="s">
        <v>431</v>
      </c>
      <c r="B49" s="37">
        <v>43039</v>
      </c>
      <c r="C49" s="38" t="s">
        <v>323</v>
      </c>
      <c r="D49" s="9" t="s">
        <v>432</v>
      </c>
      <c r="E49" s="39" t="s">
        <v>433</v>
      </c>
      <c r="F49" s="41">
        <v>57400</v>
      </c>
      <c r="G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5">
      <c r="A50" s="36" t="s">
        <v>434</v>
      </c>
      <c r="B50" s="37">
        <v>43040</v>
      </c>
      <c r="C50" s="38" t="s">
        <v>323</v>
      </c>
      <c r="D50" s="9" t="s">
        <v>435</v>
      </c>
      <c r="E50" s="39" t="s">
        <v>436</v>
      </c>
      <c r="F50" s="41">
        <v>181976.2</v>
      </c>
      <c r="G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5">
      <c r="A51" s="36" t="s">
        <v>434</v>
      </c>
      <c r="B51" s="37">
        <v>43040</v>
      </c>
      <c r="C51" s="38" t="s">
        <v>323</v>
      </c>
      <c r="D51" s="9" t="s">
        <v>435</v>
      </c>
      <c r="E51" s="39" t="s">
        <v>437</v>
      </c>
      <c r="F51" s="41">
        <v>353064.60000000003</v>
      </c>
      <c r="G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5">
      <c r="A52" s="36" t="s">
        <v>434</v>
      </c>
      <c r="B52" s="37">
        <v>43040</v>
      </c>
      <c r="C52" s="38" t="s">
        <v>323</v>
      </c>
      <c r="D52" s="9" t="s">
        <v>435</v>
      </c>
      <c r="E52" s="39" t="s">
        <v>438</v>
      </c>
      <c r="F52" s="41">
        <v>249958.80000000002</v>
      </c>
      <c r="G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5">
      <c r="A53" s="36" t="s">
        <v>434</v>
      </c>
      <c r="B53" s="37">
        <v>43040</v>
      </c>
      <c r="C53" s="38" t="s">
        <v>323</v>
      </c>
      <c r="D53" s="9" t="s">
        <v>435</v>
      </c>
      <c r="E53" s="39" t="s">
        <v>439</v>
      </c>
      <c r="F53" s="41">
        <v>204418.2</v>
      </c>
      <c r="G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5">
      <c r="A54" s="36" t="s">
        <v>434</v>
      </c>
      <c r="B54" s="37">
        <v>43040</v>
      </c>
      <c r="C54" s="38" t="s">
        <v>323</v>
      </c>
      <c r="D54" s="9" t="s">
        <v>435</v>
      </c>
      <c r="E54" s="39" t="s">
        <v>440</v>
      </c>
      <c r="F54" s="41">
        <v>23030</v>
      </c>
      <c r="G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5">
      <c r="A55" s="36" t="s">
        <v>434</v>
      </c>
      <c r="B55" s="37">
        <v>43040</v>
      </c>
      <c r="C55" s="38" t="s">
        <v>323</v>
      </c>
      <c r="D55" s="9" t="s">
        <v>435</v>
      </c>
      <c r="E55" s="39" t="s">
        <v>441</v>
      </c>
      <c r="F55" s="41">
        <v>237395.2</v>
      </c>
      <c r="G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5">
      <c r="A56" s="36" t="s">
        <v>434</v>
      </c>
      <c r="B56" s="37">
        <v>43040</v>
      </c>
      <c r="C56" s="38" t="s">
        <v>323</v>
      </c>
      <c r="D56" s="9" t="s">
        <v>442</v>
      </c>
      <c r="E56" s="39" t="s">
        <v>443</v>
      </c>
      <c r="F56" s="41">
        <v>165000</v>
      </c>
      <c r="G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5">
      <c r="A57" s="36" t="s">
        <v>434</v>
      </c>
      <c r="B57" s="37">
        <v>43040</v>
      </c>
      <c r="C57" s="38" t="s">
        <v>323</v>
      </c>
      <c r="D57" s="9" t="s">
        <v>444</v>
      </c>
      <c r="E57" s="39" t="s">
        <v>445</v>
      </c>
      <c r="F57" s="41">
        <v>205000</v>
      </c>
      <c r="G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5">
      <c r="A58" s="36" t="s">
        <v>434</v>
      </c>
      <c r="B58" s="37">
        <v>43040</v>
      </c>
      <c r="C58" s="38" t="s">
        <v>323</v>
      </c>
      <c r="D58" s="9" t="s">
        <v>446</v>
      </c>
      <c r="E58" s="39" t="s">
        <v>447</v>
      </c>
      <c r="F58" s="41">
        <v>558600</v>
      </c>
      <c r="G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5">
      <c r="A59" s="36" t="s">
        <v>434</v>
      </c>
      <c r="B59" s="37">
        <v>43040</v>
      </c>
      <c r="C59" s="38" t="s">
        <v>323</v>
      </c>
      <c r="D59" s="9" t="s">
        <v>448</v>
      </c>
      <c r="E59" s="39" t="s">
        <v>449</v>
      </c>
      <c r="F59" s="41">
        <v>30000</v>
      </c>
      <c r="G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5">
      <c r="A60" s="36" t="s">
        <v>434</v>
      </c>
      <c r="B60" s="37">
        <v>43040</v>
      </c>
      <c r="C60" s="38" t="s">
        <v>323</v>
      </c>
      <c r="D60" s="9" t="s">
        <v>450</v>
      </c>
      <c r="E60" s="39" t="s">
        <v>451</v>
      </c>
      <c r="F60" s="41">
        <v>2795965.48</v>
      </c>
      <c r="G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5">
      <c r="A61" s="36" t="s">
        <v>434</v>
      </c>
      <c r="B61" s="37">
        <v>43040</v>
      </c>
      <c r="C61" s="38" t="s">
        <v>323</v>
      </c>
      <c r="D61" s="9" t="s">
        <v>450</v>
      </c>
      <c r="E61" s="39" t="s">
        <v>452</v>
      </c>
      <c r="F61" s="41">
        <v>284567.5</v>
      </c>
      <c r="G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5">
      <c r="A62" s="36" t="s">
        <v>434</v>
      </c>
      <c r="B62" s="37">
        <v>43040</v>
      </c>
      <c r="C62" s="38" t="s">
        <v>323</v>
      </c>
      <c r="D62" s="9" t="s">
        <v>450</v>
      </c>
      <c r="E62" s="39" t="s">
        <v>453</v>
      </c>
      <c r="F62" s="41">
        <v>190918.7</v>
      </c>
      <c r="G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5">
      <c r="A63" s="36" t="s">
        <v>434</v>
      </c>
      <c r="B63" s="37">
        <v>43040</v>
      </c>
      <c r="C63" s="38" t="s">
        <v>323</v>
      </c>
      <c r="D63" s="9" t="s">
        <v>454</v>
      </c>
      <c r="E63" s="39" t="s">
        <v>455</v>
      </c>
      <c r="F63" s="41">
        <v>415751</v>
      </c>
      <c r="G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5">
      <c r="A64" s="36" t="s">
        <v>456</v>
      </c>
      <c r="B64" s="37">
        <v>43042</v>
      </c>
      <c r="C64" s="38" t="s">
        <v>323</v>
      </c>
      <c r="D64" s="9" t="s">
        <v>448</v>
      </c>
      <c r="E64" s="39" t="s">
        <v>457</v>
      </c>
      <c r="F64" s="41">
        <v>45000</v>
      </c>
      <c r="G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5">
      <c r="A65" s="36" t="s">
        <v>456</v>
      </c>
      <c r="B65" s="37">
        <v>43042</v>
      </c>
      <c r="C65" s="38" t="s">
        <v>323</v>
      </c>
      <c r="D65" s="9" t="s">
        <v>458</v>
      </c>
      <c r="E65" s="39" t="s">
        <v>459</v>
      </c>
      <c r="F65" s="41">
        <v>860606.6</v>
      </c>
      <c r="G65" s="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5">
      <c r="A66" s="36" t="s">
        <v>456</v>
      </c>
      <c r="B66" s="37">
        <v>43042</v>
      </c>
      <c r="C66" s="38" t="s">
        <v>323</v>
      </c>
      <c r="D66" s="9" t="s">
        <v>460</v>
      </c>
      <c r="E66" s="39" t="s">
        <v>461</v>
      </c>
      <c r="F66" s="41">
        <v>57674</v>
      </c>
      <c r="G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5">
      <c r="A67" s="36" t="s">
        <v>456</v>
      </c>
      <c r="B67" s="37">
        <v>43042</v>
      </c>
      <c r="C67" s="38" t="s">
        <v>323</v>
      </c>
      <c r="D67" s="9" t="s">
        <v>435</v>
      </c>
      <c r="E67" s="39" t="s">
        <v>462</v>
      </c>
      <c r="F67" s="41">
        <v>31943.100000000002</v>
      </c>
      <c r="G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5">
      <c r="A68" s="36" t="s">
        <v>456</v>
      </c>
      <c r="B68" s="37">
        <v>43042</v>
      </c>
      <c r="C68" s="38" t="s">
        <v>323</v>
      </c>
      <c r="D68" s="9" t="s">
        <v>435</v>
      </c>
      <c r="E68" s="39" t="s">
        <v>463</v>
      </c>
      <c r="F68" s="41">
        <v>33917.8</v>
      </c>
      <c r="G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5">
      <c r="A69" s="36" t="s">
        <v>456</v>
      </c>
      <c r="B69" s="37">
        <v>43042</v>
      </c>
      <c r="C69" s="38" t="s">
        <v>323</v>
      </c>
      <c r="D69" s="9" t="s">
        <v>464</v>
      </c>
      <c r="E69" s="39" t="s">
        <v>465</v>
      </c>
      <c r="F69" s="41">
        <v>3743760.7800000003</v>
      </c>
      <c r="G69" s="7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5">
      <c r="A70" s="36" t="s">
        <v>456</v>
      </c>
      <c r="B70" s="37">
        <v>43042</v>
      </c>
      <c r="C70" s="38" t="s">
        <v>323</v>
      </c>
      <c r="D70" s="9" t="s">
        <v>466</v>
      </c>
      <c r="E70" s="39" t="s">
        <v>467</v>
      </c>
      <c r="F70" s="41">
        <v>38019.24</v>
      </c>
      <c r="G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5">
      <c r="A71" s="36" t="s">
        <v>456</v>
      </c>
      <c r="B71" s="37">
        <v>43042</v>
      </c>
      <c r="C71" s="38" t="s">
        <v>323</v>
      </c>
      <c r="D71" s="9" t="s">
        <v>466</v>
      </c>
      <c r="E71" s="39" t="s">
        <v>468</v>
      </c>
      <c r="F71" s="41">
        <v>33969.6</v>
      </c>
      <c r="G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5">
      <c r="A72" s="36" t="s">
        <v>456</v>
      </c>
      <c r="B72" s="37">
        <v>43042</v>
      </c>
      <c r="C72" s="38" t="s">
        <v>323</v>
      </c>
      <c r="D72" s="9" t="s">
        <v>469</v>
      </c>
      <c r="E72" s="39" t="s">
        <v>470</v>
      </c>
      <c r="F72" s="41">
        <v>91222.88</v>
      </c>
      <c r="G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5">
      <c r="A73" s="36" t="s">
        <v>456</v>
      </c>
      <c r="B73" s="37">
        <v>43042</v>
      </c>
      <c r="C73" s="38" t="s">
        <v>323</v>
      </c>
      <c r="D73" s="9" t="s">
        <v>469</v>
      </c>
      <c r="E73" s="39" t="s">
        <v>471</v>
      </c>
      <c r="F73" s="41">
        <v>19330.010000000002</v>
      </c>
      <c r="G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5">
      <c r="A74" s="36" t="s">
        <v>472</v>
      </c>
      <c r="B74" s="37">
        <v>43046</v>
      </c>
      <c r="C74" s="38" t="s">
        <v>323</v>
      </c>
      <c r="D74" s="9" t="s">
        <v>473</v>
      </c>
      <c r="E74" s="39" t="s">
        <v>474</v>
      </c>
      <c r="F74" s="41">
        <v>72450</v>
      </c>
      <c r="G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5">
      <c r="A75" s="36" t="s">
        <v>472</v>
      </c>
      <c r="B75" s="37">
        <v>43046</v>
      </c>
      <c r="C75" s="38" t="s">
        <v>323</v>
      </c>
      <c r="D75" s="9" t="s">
        <v>475</v>
      </c>
      <c r="E75" s="39" t="s">
        <v>476</v>
      </c>
      <c r="F75" s="41">
        <v>30000</v>
      </c>
      <c r="G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5">
      <c r="A76" s="36" t="s">
        <v>472</v>
      </c>
      <c r="B76" s="37">
        <v>43046</v>
      </c>
      <c r="C76" s="38" t="s">
        <v>323</v>
      </c>
      <c r="D76" s="9" t="s">
        <v>333</v>
      </c>
      <c r="E76" s="39" t="s">
        <v>477</v>
      </c>
      <c r="F76" s="41">
        <v>8350</v>
      </c>
      <c r="G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5">
      <c r="A77" s="36" t="s">
        <v>472</v>
      </c>
      <c r="B77" s="37">
        <v>43046</v>
      </c>
      <c r="C77" s="38" t="s">
        <v>323</v>
      </c>
      <c r="D77" s="9" t="s">
        <v>478</v>
      </c>
      <c r="E77" s="39" t="s">
        <v>479</v>
      </c>
      <c r="F77" s="41">
        <v>8350</v>
      </c>
      <c r="G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5">
      <c r="A78" s="36" t="s">
        <v>472</v>
      </c>
      <c r="B78" s="37">
        <v>43046</v>
      </c>
      <c r="C78" s="38" t="s">
        <v>323</v>
      </c>
      <c r="D78" s="9" t="s">
        <v>480</v>
      </c>
      <c r="E78" s="39" t="s">
        <v>481</v>
      </c>
      <c r="F78" s="41">
        <v>68000</v>
      </c>
      <c r="G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5">
      <c r="A79" s="36" t="s">
        <v>472</v>
      </c>
      <c r="B79" s="37">
        <v>43046</v>
      </c>
      <c r="C79" s="38" t="s">
        <v>323</v>
      </c>
      <c r="D79" s="9" t="s">
        <v>482</v>
      </c>
      <c r="E79" s="39" t="s">
        <v>483</v>
      </c>
      <c r="F79" s="41">
        <v>573300</v>
      </c>
      <c r="G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5">
      <c r="A80" s="36" t="s">
        <v>472</v>
      </c>
      <c r="B80" s="37">
        <v>43046</v>
      </c>
      <c r="C80" s="38" t="s">
        <v>323</v>
      </c>
      <c r="D80" s="9" t="s">
        <v>484</v>
      </c>
      <c r="E80" s="39" t="s">
        <v>485</v>
      </c>
      <c r="F80" s="41">
        <v>137811</v>
      </c>
      <c r="G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5">
      <c r="A81" s="36" t="s">
        <v>486</v>
      </c>
      <c r="B81" s="37">
        <v>43046</v>
      </c>
      <c r="C81" s="38" t="s">
        <v>323</v>
      </c>
      <c r="D81" s="9" t="s">
        <v>487</v>
      </c>
      <c r="E81" s="39" t="s">
        <v>488</v>
      </c>
      <c r="F81" s="41">
        <v>1187795</v>
      </c>
      <c r="G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5">
      <c r="A82" s="36" t="s">
        <v>489</v>
      </c>
      <c r="B82" s="37">
        <v>43049</v>
      </c>
      <c r="C82" s="38" t="s">
        <v>323</v>
      </c>
      <c r="D82" s="9" t="s">
        <v>490</v>
      </c>
      <c r="E82" s="39" t="s">
        <v>491</v>
      </c>
      <c r="F82" s="41">
        <v>2082500</v>
      </c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5">
      <c r="A83" s="36" t="s">
        <v>489</v>
      </c>
      <c r="B83" s="37">
        <v>43049</v>
      </c>
      <c r="C83" s="38" t="s">
        <v>323</v>
      </c>
      <c r="D83" s="9" t="s">
        <v>492</v>
      </c>
      <c r="E83" s="39" t="s">
        <v>493</v>
      </c>
      <c r="F83" s="41">
        <v>921102</v>
      </c>
      <c r="G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5">
      <c r="A84" s="36" t="s">
        <v>489</v>
      </c>
      <c r="B84" s="37">
        <v>43049</v>
      </c>
      <c r="C84" s="38" t="s">
        <v>323</v>
      </c>
      <c r="D84" s="9" t="s">
        <v>494</v>
      </c>
      <c r="E84" s="39" t="s">
        <v>495</v>
      </c>
      <c r="F84" s="41">
        <v>490000</v>
      </c>
      <c r="G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5">
      <c r="A85" s="36" t="s">
        <v>489</v>
      </c>
      <c r="B85" s="37">
        <v>43049</v>
      </c>
      <c r="C85" s="38" t="s">
        <v>323</v>
      </c>
      <c r="D85" s="9" t="s">
        <v>494</v>
      </c>
      <c r="E85" s="39" t="s">
        <v>496</v>
      </c>
      <c r="F85" s="41">
        <v>213575.69</v>
      </c>
      <c r="G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5">
      <c r="A86" s="36" t="s">
        <v>489</v>
      </c>
      <c r="B86" s="37">
        <v>43049</v>
      </c>
      <c r="C86" s="38" t="s">
        <v>323</v>
      </c>
      <c r="D86" s="9" t="s">
        <v>497</v>
      </c>
      <c r="E86" s="39" t="s">
        <v>498</v>
      </c>
      <c r="F86" s="41">
        <v>200000</v>
      </c>
      <c r="G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5">
      <c r="A87" s="36" t="s">
        <v>489</v>
      </c>
      <c r="B87" s="37">
        <v>43049</v>
      </c>
      <c r="C87" s="38" t="s">
        <v>323</v>
      </c>
      <c r="D87" s="9" t="s">
        <v>499</v>
      </c>
      <c r="E87" s="39" t="s">
        <v>500</v>
      </c>
      <c r="F87" s="41">
        <v>567831.6</v>
      </c>
      <c r="G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5">
      <c r="A88" s="36" t="s">
        <v>489</v>
      </c>
      <c r="B88" s="37">
        <v>43049</v>
      </c>
      <c r="C88" s="38" t="s">
        <v>323</v>
      </c>
      <c r="D88" s="9" t="s">
        <v>501</v>
      </c>
      <c r="E88" s="39" t="s">
        <v>502</v>
      </c>
      <c r="F88" s="41">
        <v>1515258.36</v>
      </c>
      <c r="G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5">
      <c r="A89" s="36" t="s">
        <v>489</v>
      </c>
      <c r="B89" s="37">
        <v>43049</v>
      </c>
      <c r="C89" s="38" t="s">
        <v>323</v>
      </c>
      <c r="D89" s="9" t="s">
        <v>503</v>
      </c>
      <c r="E89" s="39" t="s">
        <v>504</v>
      </c>
      <c r="F89" s="41">
        <v>689895.5</v>
      </c>
      <c r="G89" s="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5">
      <c r="A90" s="36" t="s">
        <v>489</v>
      </c>
      <c r="B90" s="37">
        <v>43049</v>
      </c>
      <c r="C90" s="38" t="s">
        <v>323</v>
      </c>
      <c r="D90" s="9" t="s">
        <v>503</v>
      </c>
      <c r="E90" s="39" t="s">
        <v>505</v>
      </c>
      <c r="F90" s="41">
        <v>689895.5</v>
      </c>
      <c r="G90" s="7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5">
      <c r="A91" s="36" t="s">
        <v>489</v>
      </c>
      <c r="B91" s="37">
        <v>43049</v>
      </c>
      <c r="C91" s="38" t="s">
        <v>323</v>
      </c>
      <c r="D91" s="9" t="s">
        <v>506</v>
      </c>
      <c r="E91" s="39" t="s">
        <v>507</v>
      </c>
      <c r="F91" s="41">
        <v>72010.2</v>
      </c>
      <c r="G91" s="7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5">
      <c r="A92" s="36" t="s">
        <v>489</v>
      </c>
      <c r="B92" s="37">
        <v>43049</v>
      </c>
      <c r="C92" s="38" t="s">
        <v>323</v>
      </c>
      <c r="D92" s="9" t="s">
        <v>508</v>
      </c>
      <c r="E92" s="39" t="s">
        <v>509</v>
      </c>
      <c r="F92" s="41">
        <v>686000</v>
      </c>
      <c r="G92" s="7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5">
      <c r="A93" s="36" t="s">
        <v>489</v>
      </c>
      <c r="B93" s="37">
        <v>43049</v>
      </c>
      <c r="C93" s="38" t="s">
        <v>323</v>
      </c>
      <c r="D93" s="9" t="s">
        <v>510</v>
      </c>
      <c r="E93" s="39" t="s">
        <v>511</v>
      </c>
      <c r="F93" s="41">
        <v>169649.75</v>
      </c>
      <c r="G93" s="7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5">
      <c r="A94" s="36" t="s">
        <v>489</v>
      </c>
      <c r="B94" s="37">
        <v>43049</v>
      </c>
      <c r="C94" s="38" t="s">
        <v>323</v>
      </c>
      <c r="D94" s="9" t="s">
        <v>512</v>
      </c>
      <c r="E94" s="39" t="s">
        <v>513</v>
      </c>
      <c r="F94" s="41">
        <v>334209.4</v>
      </c>
      <c r="G94" s="7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5">
      <c r="A95" s="36" t="s">
        <v>489</v>
      </c>
      <c r="B95" s="37">
        <v>43049</v>
      </c>
      <c r="C95" s="38" t="s">
        <v>323</v>
      </c>
      <c r="D95" s="9" t="s">
        <v>514</v>
      </c>
      <c r="E95" s="39" t="s">
        <v>515</v>
      </c>
      <c r="F95" s="41">
        <v>1717278.5</v>
      </c>
      <c r="G95" s="7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5">
      <c r="A96" s="36" t="s">
        <v>516</v>
      </c>
      <c r="B96" s="37">
        <v>43056</v>
      </c>
      <c r="C96" s="38" t="s">
        <v>323</v>
      </c>
      <c r="D96" s="9" t="s">
        <v>490</v>
      </c>
      <c r="E96" s="39" t="s">
        <v>517</v>
      </c>
      <c r="F96" s="41">
        <v>931000</v>
      </c>
      <c r="G96" s="7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5">
      <c r="A97" s="36" t="s">
        <v>516</v>
      </c>
      <c r="B97" s="37">
        <v>43056</v>
      </c>
      <c r="C97" s="38" t="s">
        <v>323</v>
      </c>
      <c r="D97" s="9" t="s">
        <v>518</v>
      </c>
      <c r="E97" s="39" t="s">
        <v>519</v>
      </c>
      <c r="F97" s="41">
        <v>60000</v>
      </c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5">
      <c r="A98" s="36" t="s">
        <v>516</v>
      </c>
      <c r="B98" s="37">
        <v>43056</v>
      </c>
      <c r="C98" s="38" t="s">
        <v>323</v>
      </c>
      <c r="D98" s="9" t="s">
        <v>435</v>
      </c>
      <c r="E98" s="39" t="s">
        <v>520</v>
      </c>
      <c r="F98" s="41">
        <v>420000</v>
      </c>
      <c r="G98" s="7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5">
      <c r="A99" s="36" t="s">
        <v>516</v>
      </c>
      <c r="B99" s="37">
        <v>43056</v>
      </c>
      <c r="C99" s="38" t="s">
        <v>323</v>
      </c>
      <c r="D99" s="9" t="s">
        <v>435</v>
      </c>
      <c r="E99" s="39" t="s">
        <v>521</v>
      </c>
      <c r="F99" s="41">
        <v>27525</v>
      </c>
      <c r="G99" s="7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5">
      <c r="A100" s="36" t="s">
        <v>516</v>
      </c>
      <c r="B100" s="37">
        <v>43056</v>
      </c>
      <c r="C100" s="38" t="s">
        <v>323</v>
      </c>
      <c r="D100" s="9" t="s">
        <v>435</v>
      </c>
      <c r="E100" s="39" t="s">
        <v>522</v>
      </c>
      <c r="F100" s="41">
        <v>18000</v>
      </c>
      <c r="G100" s="7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5">
      <c r="A101" s="36" t="s">
        <v>516</v>
      </c>
      <c r="B101" s="37">
        <v>43056</v>
      </c>
      <c r="C101" s="38" t="s">
        <v>323</v>
      </c>
      <c r="D101" s="9" t="s">
        <v>435</v>
      </c>
      <c r="E101" s="39" t="s">
        <v>523</v>
      </c>
      <c r="F101" s="41">
        <v>7140</v>
      </c>
      <c r="G101" s="7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15">
      <c r="A102" s="36" t="s">
        <v>516</v>
      </c>
      <c r="B102" s="37">
        <v>43056</v>
      </c>
      <c r="C102" s="38" t="s">
        <v>323</v>
      </c>
      <c r="D102" s="9" t="s">
        <v>524</v>
      </c>
      <c r="E102" s="39" t="s">
        <v>525</v>
      </c>
      <c r="F102" s="41">
        <v>297000</v>
      </c>
      <c r="G102" s="7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15">
      <c r="A103" s="36" t="s">
        <v>516</v>
      </c>
      <c r="B103" s="37">
        <v>43056</v>
      </c>
      <c r="C103" s="38" t="s">
        <v>323</v>
      </c>
      <c r="D103" s="9" t="s">
        <v>526</v>
      </c>
      <c r="E103" s="39" t="s">
        <v>527</v>
      </c>
      <c r="F103" s="41">
        <v>131627.72</v>
      </c>
      <c r="G103" s="7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15">
      <c r="A104" s="36" t="s">
        <v>516</v>
      </c>
      <c r="B104" s="37">
        <v>43056</v>
      </c>
      <c r="C104" s="38" t="s">
        <v>323</v>
      </c>
      <c r="D104" s="9" t="s">
        <v>526</v>
      </c>
      <c r="E104" s="39" t="s">
        <v>528</v>
      </c>
      <c r="F104" s="41">
        <v>36791.5</v>
      </c>
      <c r="G104" s="7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15">
      <c r="A105" s="36" t="s">
        <v>516</v>
      </c>
      <c r="B105" s="37">
        <v>43056</v>
      </c>
      <c r="C105" s="38" t="s">
        <v>323</v>
      </c>
      <c r="D105" s="9" t="s">
        <v>526</v>
      </c>
      <c r="E105" s="39" t="s">
        <v>529</v>
      </c>
      <c r="F105" s="41">
        <v>131627.72</v>
      </c>
      <c r="G105" s="7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15">
      <c r="A106" s="36" t="s">
        <v>516</v>
      </c>
      <c r="B106" s="37">
        <v>43056</v>
      </c>
      <c r="C106" s="38" t="s">
        <v>323</v>
      </c>
      <c r="D106" s="9" t="s">
        <v>526</v>
      </c>
      <c r="E106" s="39" t="s">
        <v>530</v>
      </c>
      <c r="F106" s="41">
        <v>36791.5</v>
      </c>
      <c r="G106" s="7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15">
      <c r="A107" s="36" t="s">
        <v>516</v>
      </c>
      <c r="B107" s="37">
        <v>43056</v>
      </c>
      <c r="C107" s="38" t="s">
        <v>323</v>
      </c>
      <c r="D107" s="9" t="s">
        <v>526</v>
      </c>
      <c r="E107" s="39" t="s">
        <v>531</v>
      </c>
      <c r="F107" s="41">
        <v>131627.72</v>
      </c>
      <c r="G107" s="7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15">
      <c r="A108" s="36" t="s">
        <v>516</v>
      </c>
      <c r="B108" s="37">
        <v>43056</v>
      </c>
      <c r="C108" s="38" t="s">
        <v>323</v>
      </c>
      <c r="D108" s="9" t="s">
        <v>526</v>
      </c>
      <c r="E108" s="39" t="s">
        <v>532</v>
      </c>
      <c r="F108" s="41">
        <v>36791.5</v>
      </c>
      <c r="G108" s="7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15">
      <c r="A109" s="36" t="s">
        <v>516</v>
      </c>
      <c r="B109" s="37">
        <v>43056</v>
      </c>
      <c r="C109" s="38" t="s">
        <v>323</v>
      </c>
      <c r="D109" s="9" t="s">
        <v>526</v>
      </c>
      <c r="E109" s="39" t="s">
        <v>533</v>
      </c>
      <c r="F109" s="41">
        <v>131627.72</v>
      </c>
      <c r="G109" s="7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15">
      <c r="A110" s="36" t="s">
        <v>516</v>
      </c>
      <c r="B110" s="37">
        <v>43056</v>
      </c>
      <c r="C110" s="38" t="s">
        <v>323</v>
      </c>
      <c r="D110" s="9" t="s">
        <v>526</v>
      </c>
      <c r="E110" s="39" t="s">
        <v>534</v>
      </c>
      <c r="F110" s="41">
        <v>36791.5</v>
      </c>
      <c r="G110" s="7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15">
      <c r="A111" s="36" t="s">
        <v>516</v>
      </c>
      <c r="B111" s="37">
        <v>43056</v>
      </c>
      <c r="C111" s="38" t="s">
        <v>323</v>
      </c>
      <c r="D111" s="9" t="s">
        <v>535</v>
      </c>
      <c r="E111" s="39" t="s">
        <v>536</v>
      </c>
      <c r="F111" s="41">
        <v>1434832.9000000001</v>
      </c>
      <c r="G111" s="7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5">
      <c r="A112" s="36" t="s">
        <v>516</v>
      </c>
      <c r="B112" s="37">
        <v>43056</v>
      </c>
      <c r="C112" s="38" t="s">
        <v>323</v>
      </c>
      <c r="D112" s="9" t="s">
        <v>537</v>
      </c>
      <c r="E112" s="39" t="s">
        <v>538</v>
      </c>
      <c r="F112" s="41">
        <v>236250</v>
      </c>
      <c r="G112" s="7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5">
      <c r="A113" s="36" t="s">
        <v>516</v>
      </c>
      <c r="B113" s="37">
        <v>43056</v>
      </c>
      <c r="C113" s="38" t="s">
        <v>323</v>
      </c>
      <c r="D113" s="9" t="s">
        <v>539</v>
      </c>
      <c r="E113" s="39" t="s">
        <v>540</v>
      </c>
      <c r="F113" s="41">
        <v>784000</v>
      </c>
      <c r="G113" s="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5">
      <c r="A114" s="36" t="s">
        <v>516</v>
      </c>
      <c r="B114" s="37">
        <v>43056</v>
      </c>
      <c r="C114" s="38" t="s">
        <v>323</v>
      </c>
      <c r="D114" s="9" t="s">
        <v>541</v>
      </c>
      <c r="E114" s="39" t="s">
        <v>542</v>
      </c>
      <c r="F114" s="41">
        <v>15776.1</v>
      </c>
      <c r="G114" s="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5">
      <c r="A115" s="36" t="s">
        <v>516</v>
      </c>
      <c r="B115" s="37">
        <v>43056</v>
      </c>
      <c r="C115" s="38" t="s">
        <v>323</v>
      </c>
      <c r="D115" s="9" t="s">
        <v>543</v>
      </c>
      <c r="E115" s="39" t="s">
        <v>544</v>
      </c>
      <c r="F115" s="41">
        <v>471333.95</v>
      </c>
      <c r="G115" s="7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5">
      <c r="A116" s="36" t="s">
        <v>516</v>
      </c>
      <c r="B116" s="37">
        <v>43056</v>
      </c>
      <c r="C116" s="38" t="s">
        <v>323</v>
      </c>
      <c r="D116" s="9" t="s">
        <v>545</v>
      </c>
      <c r="E116" s="39" t="s">
        <v>546</v>
      </c>
      <c r="F116" s="41">
        <v>50000</v>
      </c>
      <c r="G116" s="7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15">
      <c r="A117" s="36" t="s">
        <v>516</v>
      </c>
      <c r="B117" s="37">
        <v>43056</v>
      </c>
      <c r="C117" s="38" t="s">
        <v>323</v>
      </c>
      <c r="D117" s="9" t="s">
        <v>547</v>
      </c>
      <c r="E117" s="39" t="s">
        <v>548</v>
      </c>
      <c r="F117" s="41">
        <v>620475.25</v>
      </c>
      <c r="G117" s="7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15">
      <c r="A118" s="36" t="s">
        <v>516</v>
      </c>
      <c r="B118" s="37">
        <v>43056</v>
      </c>
      <c r="C118" s="38" t="s">
        <v>323</v>
      </c>
      <c r="D118" s="9" t="s">
        <v>549</v>
      </c>
      <c r="E118" s="39" t="s">
        <v>550</v>
      </c>
      <c r="F118" s="41">
        <v>154356.30000000002</v>
      </c>
      <c r="G118" s="7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15">
      <c r="A119" s="36" t="s">
        <v>516</v>
      </c>
      <c r="B119" s="37">
        <v>43056</v>
      </c>
      <c r="C119" s="38" t="s">
        <v>323</v>
      </c>
      <c r="D119" s="9" t="s">
        <v>551</v>
      </c>
      <c r="E119" s="39" t="s">
        <v>552</v>
      </c>
      <c r="F119" s="41">
        <v>309000</v>
      </c>
      <c r="G119" s="7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15">
      <c r="A120" s="36" t="s">
        <v>516</v>
      </c>
      <c r="B120" s="37">
        <v>43056</v>
      </c>
      <c r="C120" s="38" t="s">
        <v>323</v>
      </c>
      <c r="D120" s="9" t="s">
        <v>553</v>
      </c>
      <c r="E120" s="39" t="s">
        <v>554</v>
      </c>
      <c r="F120" s="41">
        <v>299750</v>
      </c>
      <c r="G120" s="7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15">
      <c r="A121" s="36" t="s">
        <v>516</v>
      </c>
      <c r="B121" s="37">
        <v>43056</v>
      </c>
      <c r="C121" s="38" t="s">
        <v>323</v>
      </c>
      <c r="D121" s="9" t="s">
        <v>555</v>
      </c>
      <c r="E121" s="39" t="s">
        <v>556</v>
      </c>
      <c r="F121" s="41">
        <v>150000</v>
      </c>
      <c r="G121" s="7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15">
      <c r="A122" s="36" t="s">
        <v>516</v>
      </c>
      <c r="B122" s="37">
        <v>43056</v>
      </c>
      <c r="C122" s="38" t="s">
        <v>323</v>
      </c>
      <c r="D122" s="9" t="s">
        <v>450</v>
      </c>
      <c r="E122" s="39" t="s">
        <v>557</v>
      </c>
      <c r="F122" s="41">
        <v>49420</v>
      </c>
      <c r="G122" s="7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15">
      <c r="A123" s="36" t="s">
        <v>516</v>
      </c>
      <c r="B123" s="37">
        <v>43056</v>
      </c>
      <c r="C123" s="38" t="s">
        <v>323</v>
      </c>
      <c r="D123" s="9" t="s">
        <v>450</v>
      </c>
      <c r="E123" s="39" t="s">
        <v>558</v>
      </c>
      <c r="F123" s="41">
        <v>82415</v>
      </c>
      <c r="G123" s="7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15">
      <c r="A124" s="36" t="s">
        <v>516</v>
      </c>
      <c r="B124" s="37">
        <v>43056</v>
      </c>
      <c r="C124" s="38" t="s">
        <v>323</v>
      </c>
      <c r="D124" s="9" t="s">
        <v>450</v>
      </c>
      <c r="E124" s="39" t="s">
        <v>559</v>
      </c>
      <c r="F124" s="41">
        <v>86590</v>
      </c>
      <c r="G124" s="7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15">
      <c r="A125" s="36" t="s">
        <v>516</v>
      </c>
      <c r="B125" s="37">
        <v>43056</v>
      </c>
      <c r="C125" s="38" t="s">
        <v>323</v>
      </c>
      <c r="D125" s="9" t="s">
        <v>560</v>
      </c>
      <c r="E125" s="39" t="s">
        <v>561</v>
      </c>
      <c r="F125" s="41">
        <v>5150</v>
      </c>
      <c r="G125" s="7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15">
      <c r="A126" s="36" t="s">
        <v>516</v>
      </c>
      <c r="B126" s="37">
        <v>43056</v>
      </c>
      <c r="C126" s="38" t="s">
        <v>323</v>
      </c>
      <c r="D126" s="9" t="s">
        <v>562</v>
      </c>
      <c r="E126" s="39" t="s">
        <v>563</v>
      </c>
      <c r="F126" s="41">
        <v>34850</v>
      </c>
      <c r="G126" s="7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15">
      <c r="A127" s="36" t="s">
        <v>564</v>
      </c>
      <c r="B127" s="37">
        <v>43055</v>
      </c>
      <c r="C127" s="38" t="s">
        <v>323</v>
      </c>
      <c r="D127" s="9" t="s">
        <v>565</v>
      </c>
      <c r="E127" s="39" t="s">
        <v>566</v>
      </c>
      <c r="F127" s="41">
        <v>26313444</v>
      </c>
      <c r="G127" s="7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15">
      <c r="A128" s="36" t="s">
        <v>564</v>
      </c>
      <c r="B128" s="37">
        <v>43055</v>
      </c>
      <c r="C128" s="38" t="s">
        <v>323</v>
      </c>
      <c r="D128" s="9" t="s">
        <v>565</v>
      </c>
      <c r="E128" s="39" t="s">
        <v>567</v>
      </c>
      <c r="F128" s="41">
        <v>14348057</v>
      </c>
      <c r="G128" s="7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15">
      <c r="A129" s="36" t="s">
        <v>564</v>
      </c>
      <c r="B129" s="37">
        <v>43055</v>
      </c>
      <c r="C129" s="38" t="s">
        <v>323</v>
      </c>
      <c r="D129" s="9" t="s">
        <v>565</v>
      </c>
      <c r="E129" s="39" t="s">
        <v>568</v>
      </c>
      <c r="F129" s="41">
        <v>4267042</v>
      </c>
      <c r="G129" s="7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5">
      <c r="A130" s="36" t="s">
        <v>564</v>
      </c>
      <c r="B130" s="37">
        <v>43055</v>
      </c>
      <c r="C130" s="38" t="s">
        <v>323</v>
      </c>
      <c r="D130" s="9" t="s">
        <v>565</v>
      </c>
      <c r="E130" s="39" t="s">
        <v>569</v>
      </c>
      <c r="F130" s="41">
        <v>1422358</v>
      </c>
      <c r="G130" s="7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15">
      <c r="A131" s="36" t="s">
        <v>564</v>
      </c>
      <c r="B131" s="37">
        <v>43055</v>
      </c>
      <c r="C131" s="38" t="s">
        <v>323</v>
      </c>
      <c r="D131" s="9" t="s">
        <v>565</v>
      </c>
      <c r="E131" s="39" t="s">
        <v>570</v>
      </c>
      <c r="F131" s="41">
        <v>8534090</v>
      </c>
      <c r="G131" s="7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15">
      <c r="A132" s="36" t="s">
        <v>571</v>
      </c>
      <c r="B132" s="37">
        <v>43056</v>
      </c>
      <c r="C132" s="38" t="s">
        <v>323</v>
      </c>
      <c r="D132" s="9" t="s">
        <v>572</v>
      </c>
      <c r="E132" s="39" t="s">
        <v>573</v>
      </c>
      <c r="F132" s="41">
        <v>88000</v>
      </c>
      <c r="G132" s="7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15">
      <c r="A133" s="36" t="s">
        <v>571</v>
      </c>
      <c r="B133" s="37">
        <v>43056</v>
      </c>
      <c r="C133" s="38" t="s">
        <v>323</v>
      </c>
      <c r="D133" s="9" t="s">
        <v>537</v>
      </c>
      <c r="E133" s="39" t="s">
        <v>574</v>
      </c>
      <c r="F133" s="41">
        <v>236250</v>
      </c>
      <c r="G133" s="7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15">
      <c r="A134" s="36" t="s">
        <v>571</v>
      </c>
      <c r="B134" s="37">
        <v>43056</v>
      </c>
      <c r="C134" s="38" t="s">
        <v>323</v>
      </c>
      <c r="D134" s="9" t="s">
        <v>575</v>
      </c>
      <c r="E134" s="39" t="s">
        <v>576</v>
      </c>
      <c r="F134" s="41">
        <v>364469.79</v>
      </c>
      <c r="G134" s="7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15">
      <c r="A135" s="36" t="s">
        <v>571</v>
      </c>
      <c r="B135" s="37">
        <v>43056</v>
      </c>
      <c r="C135" s="38" t="s">
        <v>323</v>
      </c>
      <c r="D135" s="9" t="s">
        <v>577</v>
      </c>
      <c r="E135" s="39" t="s">
        <v>578</v>
      </c>
      <c r="F135" s="41">
        <v>10958896.35</v>
      </c>
      <c r="G135" s="7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15">
      <c r="A136" s="36" t="s">
        <v>571</v>
      </c>
      <c r="B136" s="37">
        <v>43056</v>
      </c>
      <c r="C136" s="38" t="s">
        <v>323</v>
      </c>
      <c r="D136" s="9" t="s">
        <v>458</v>
      </c>
      <c r="E136" s="39" t="s">
        <v>579</v>
      </c>
      <c r="F136" s="41">
        <v>647672.2000000001</v>
      </c>
      <c r="G136" s="7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15">
      <c r="A137" s="36" t="s">
        <v>571</v>
      </c>
      <c r="B137" s="37">
        <v>43056</v>
      </c>
      <c r="C137" s="38" t="s">
        <v>323</v>
      </c>
      <c r="D137" s="9" t="s">
        <v>580</v>
      </c>
      <c r="E137" s="39" t="s">
        <v>581</v>
      </c>
      <c r="F137" s="41">
        <v>31499.05</v>
      </c>
      <c r="G137" s="7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15">
      <c r="A138" s="36" t="s">
        <v>582</v>
      </c>
      <c r="B138" s="37">
        <v>43061</v>
      </c>
      <c r="C138" s="38" t="s">
        <v>323</v>
      </c>
      <c r="D138" s="9" t="s">
        <v>27</v>
      </c>
      <c r="E138" s="39" t="s">
        <v>0</v>
      </c>
      <c r="F138" s="41">
        <v>69500</v>
      </c>
      <c r="G138" s="7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15">
      <c r="A139" s="36" t="s">
        <v>582</v>
      </c>
      <c r="B139" s="37">
        <v>43061</v>
      </c>
      <c r="C139" s="38" t="s">
        <v>323</v>
      </c>
      <c r="D139" s="9" t="s">
        <v>27</v>
      </c>
      <c r="E139" s="39" t="s">
        <v>1</v>
      </c>
      <c r="F139" s="41">
        <v>8190.01</v>
      </c>
      <c r="G139" s="7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15">
      <c r="A140" s="36" t="s">
        <v>582</v>
      </c>
      <c r="B140" s="37">
        <v>43061</v>
      </c>
      <c r="C140" s="38" t="s">
        <v>323</v>
      </c>
      <c r="D140" s="9" t="s">
        <v>27</v>
      </c>
      <c r="E140" s="39" t="s">
        <v>2</v>
      </c>
      <c r="F140" s="41">
        <v>3000</v>
      </c>
      <c r="G140" s="7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15">
      <c r="A141" s="36" t="s">
        <v>582</v>
      </c>
      <c r="B141" s="37">
        <v>43061</v>
      </c>
      <c r="C141" s="38" t="s">
        <v>323</v>
      </c>
      <c r="D141" s="9" t="s">
        <v>27</v>
      </c>
      <c r="E141" s="39" t="s">
        <v>3</v>
      </c>
      <c r="F141" s="41">
        <v>82173</v>
      </c>
      <c r="G141" s="7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15">
      <c r="A142" s="36" t="s">
        <v>582</v>
      </c>
      <c r="B142" s="37">
        <v>43061</v>
      </c>
      <c r="C142" s="38" t="s">
        <v>323</v>
      </c>
      <c r="D142" s="9" t="s">
        <v>27</v>
      </c>
      <c r="E142" s="39" t="s">
        <v>4</v>
      </c>
      <c r="F142" s="41">
        <v>23013</v>
      </c>
      <c r="G142" s="7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15">
      <c r="A143" s="36" t="s">
        <v>582</v>
      </c>
      <c r="B143" s="37">
        <v>43061</v>
      </c>
      <c r="C143" s="38" t="s">
        <v>323</v>
      </c>
      <c r="D143" s="9" t="s">
        <v>27</v>
      </c>
      <c r="E143" s="39" t="s">
        <v>5</v>
      </c>
      <c r="F143" s="41">
        <v>187895</v>
      </c>
      <c r="G143" s="7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15">
      <c r="A144" s="36" t="s">
        <v>582</v>
      </c>
      <c r="B144" s="37">
        <v>43061</v>
      </c>
      <c r="C144" s="38" t="s">
        <v>323</v>
      </c>
      <c r="D144" s="9" t="s">
        <v>27</v>
      </c>
      <c r="E144" s="39" t="s">
        <v>6</v>
      </c>
      <c r="F144" s="41">
        <v>726850</v>
      </c>
      <c r="G144" s="7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15">
      <c r="A145" s="36" t="s">
        <v>582</v>
      </c>
      <c r="B145" s="37">
        <v>43061</v>
      </c>
      <c r="C145" s="38" t="s">
        <v>323</v>
      </c>
      <c r="D145" s="9" t="s">
        <v>27</v>
      </c>
      <c r="E145" s="39" t="s">
        <v>7</v>
      </c>
      <c r="F145" s="41">
        <v>32980</v>
      </c>
      <c r="G145" s="7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15">
      <c r="A146" s="36" t="s">
        <v>582</v>
      </c>
      <c r="B146" s="37">
        <v>43061</v>
      </c>
      <c r="C146" s="38" t="s">
        <v>323</v>
      </c>
      <c r="D146" s="9" t="s">
        <v>27</v>
      </c>
      <c r="E146" s="39" t="s">
        <v>8</v>
      </c>
      <c r="F146" s="41">
        <v>123610</v>
      </c>
      <c r="G146" s="7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15">
      <c r="A147" s="36" t="s">
        <v>582</v>
      </c>
      <c r="B147" s="37">
        <v>43061</v>
      </c>
      <c r="C147" s="38" t="s">
        <v>323</v>
      </c>
      <c r="D147" s="9" t="s">
        <v>27</v>
      </c>
      <c r="E147" s="39" t="s">
        <v>9</v>
      </c>
      <c r="F147" s="41">
        <v>28000</v>
      </c>
      <c r="G147" s="7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15">
      <c r="A148" s="36" t="s">
        <v>582</v>
      </c>
      <c r="B148" s="37">
        <v>43061</v>
      </c>
      <c r="C148" s="38" t="s">
        <v>323</v>
      </c>
      <c r="D148" s="9" t="s">
        <v>27</v>
      </c>
      <c r="E148" s="39" t="s">
        <v>10</v>
      </c>
      <c r="F148" s="41">
        <v>15120</v>
      </c>
      <c r="G148" s="7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15">
      <c r="A149" s="36" t="s">
        <v>582</v>
      </c>
      <c r="B149" s="37">
        <v>43061</v>
      </c>
      <c r="C149" s="38" t="s">
        <v>323</v>
      </c>
      <c r="D149" s="9" t="s">
        <v>27</v>
      </c>
      <c r="E149" s="39" t="s">
        <v>11</v>
      </c>
      <c r="F149" s="41">
        <v>15096</v>
      </c>
      <c r="G149" s="7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15">
      <c r="A150" s="36" t="s">
        <v>582</v>
      </c>
      <c r="B150" s="37">
        <v>43061</v>
      </c>
      <c r="C150" s="38" t="s">
        <v>323</v>
      </c>
      <c r="D150" s="9" t="s">
        <v>27</v>
      </c>
      <c r="E150" s="39" t="s">
        <v>13</v>
      </c>
      <c r="F150" s="41">
        <v>2600</v>
      </c>
      <c r="G150" s="7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15">
      <c r="A151" s="36" t="s">
        <v>582</v>
      </c>
      <c r="B151" s="37">
        <v>43061</v>
      </c>
      <c r="C151" s="38" t="s">
        <v>323</v>
      </c>
      <c r="D151" s="9" t="s">
        <v>27</v>
      </c>
      <c r="E151" s="39" t="s">
        <v>14</v>
      </c>
      <c r="F151" s="41">
        <v>14390</v>
      </c>
      <c r="G151" s="7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15">
      <c r="A152" s="36" t="s">
        <v>582</v>
      </c>
      <c r="B152" s="37">
        <v>43061</v>
      </c>
      <c r="C152" s="38" t="s">
        <v>323</v>
      </c>
      <c r="D152" s="9" t="s">
        <v>27</v>
      </c>
      <c r="E152" s="39" t="s">
        <v>15</v>
      </c>
      <c r="F152" s="41">
        <v>8400</v>
      </c>
      <c r="G152" s="7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15">
      <c r="A153" s="36" t="s">
        <v>582</v>
      </c>
      <c r="B153" s="37">
        <v>43061</v>
      </c>
      <c r="C153" s="38" t="s">
        <v>323</v>
      </c>
      <c r="D153" s="9" t="s">
        <v>27</v>
      </c>
      <c r="E153" s="39" t="s">
        <v>16</v>
      </c>
      <c r="F153" s="41">
        <v>56280</v>
      </c>
      <c r="G153" s="7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15">
      <c r="A154" s="36" t="s">
        <v>582</v>
      </c>
      <c r="B154" s="37">
        <v>43061</v>
      </c>
      <c r="C154" s="38" t="s">
        <v>323</v>
      </c>
      <c r="D154" s="9" t="s">
        <v>27</v>
      </c>
      <c r="E154" s="39" t="s">
        <v>17</v>
      </c>
      <c r="F154" s="41">
        <v>31450</v>
      </c>
      <c r="G154" s="7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15">
      <c r="A155" s="36" t="s">
        <v>582</v>
      </c>
      <c r="B155" s="37">
        <v>43061</v>
      </c>
      <c r="C155" s="38" t="s">
        <v>323</v>
      </c>
      <c r="D155" s="9" t="s">
        <v>27</v>
      </c>
      <c r="E155" s="39" t="s">
        <v>18</v>
      </c>
      <c r="F155" s="41">
        <v>72277</v>
      </c>
      <c r="G155" s="7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15">
      <c r="A156" s="36" t="s">
        <v>582</v>
      </c>
      <c r="B156" s="37">
        <v>43061</v>
      </c>
      <c r="C156" s="38" t="s">
        <v>323</v>
      </c>
      <c r="D156" s="9" t="s">
        <v>27</v>
      </c>
      <c r="E156" s="39" t="s">
        <v>19</v>
      </c>
      <c r="F156" s="41">
        <v>19500</v>
      </c>
      <c r="G156" s="7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15">
      <c r="A157" s="36" t="s">
        <v>582</v>
      </c>
      <c r="B157" s="37">
        <v>43061</v>
      </c>
      <c r="C157" s="38" t="s">
        <v>323</v>
      </c>
      <c r="D157" s="9" t="s">
        <v>27</v>
      </c>
      <c r="E157" s="39" t="s">
        <v>20</v>
      </c>
      <c r="F157" s="41">
        <v>49769</v>
      </c>
      <c r="G157" s="7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15">
      <c r="A158" s="36" t="s">
        <v>21</v>
      </c>
      <c r="B158" s="37">
        <v>43066</v>
      </c>
      <c r="C158" s="38" t="s">
        <v>323</v>
      </c>
      <c r="D158" s="9" t="s">
        <v>450</v>
      </c>
      <c r="E158" s="39" t="s">
        <v>22</v>
      </c>
      <c r="F158" s="41">
        <v>69935</v>
      </c>
      <c r="G158" s="7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15">
      <c r="A159" s="36"/>
      <c r="B159" s="35"/>
      <c r="C159" s="9"/>
      <c r="D159" s="9"/>
      <c r="E159" s="39"/>
      <c r="F159" s="41"/>
      <c r="G159" s="7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15">
      <c r="A160" s="36"/>
      <c r="B160" s="37"/>
      <c r="C160" s="38"/>
      <c r="D160" s="40"/>
      <c r="E160" s="39"/>
      <c r="F160" s="41"/>
      <c r="G160" s="7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15">
      <c r="A161" s="36"/>
      <c r="B161" s="37"/>
      <c r="C161" s="38"/>
      <c r="D161" s="40"/>
      <c r="E161" s="39"/>
      <c r="F161" s="41"/>
      <c r="G161" s="7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15">
      <c r="A162" s="36"/>
      <c r="B162" s="37"/>
      <c r="C162" s="38"/>
      <c r="D162" s="40"/>
      <c r="E162" s="39"/>
      <c r="F162" s="41"/>
      <c r="G162" s="7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15">
      <c r="A163" s="36"/>
      <c r="B163" s="37"/>
      <c r="C163" s="38"/>
      <c r="D163" s="40"/>
      <c r="E163" s="39"/>
      <c r="F163" s="41"/>
      <c r="G163" s="7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15">
      <c r="A164" s="36"/>
      <c r="B164" s="37"/>
      <c r="C164" s="38"/>
      <c r="D164" s="40"/>
      <c r="E164" s="39"/>
      <c r="F164" s="41"/>
      <c r="G164" s="7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15">
      <c r="A165" s="36"/>
      <c r="B165" s="37"/>
      <c r="C165" s="38"/>
      <c r="D165" s="40"/>
      <c r="E165" s="39"/>
      <c r="F165" s="41"/>
      <c r="G165" s="7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15">
      <c r="A166" s="36"/>
      <c r="B166" s="37"/>
      <c r="C166" s="38"/>
      <c r="D166" s="40"/>
      <c r="E166" s="39"/>
      <c r="F166" s="41"/>
      <c r="G166" s="7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15">
      <c r="A167" s="36"/>
      <c r="B167" s="37"/>
      <c r="C167" s="38"/>
      <c r="D167" s="40"/>
      <c r="E167" s="39"/>
      <c r="F167" s="41"/>
      <c r="G167" s="7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15">
      <c r="A168" s="36"/>
      <c r="B168" s="37"/>
      <c r="C168" s="38"/>
      <c r="D168" s="40"/>
      <c r="E168" s="39"/>
      <c r="F168" s="41"/>
      <c r="G168" s="7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15">
      <c r="A169" s="36"/>
      <c r="B169" s="37"/>
      <c r="C169" s="38"/>
      <c r="D169" s="40"/>
      <c r="E169" s="39"/>
      <c r="F169" s="41"/>
      <c r="G169" s="7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15">
      <c r="A170" s="36"/>
      <c r="B170" s="37"/>
      <c r="C170" s="38"/>
      <c r="D170" s="40"/>
      <c r="E170" s="39"/>
      <c r="F170" s="41"/>
      <c r="G170" s="7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15">
      <c r="A171" s="36"/>
      <c r="B171" s="37"/>
      <c r="C171" s="38"/>
      <c r="D171" s="40"/>
      <c r="E171" s="39"/>
      <c r="F171" s="41"/>
      <c r="G171" s="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15">
      <c r="A172" s="36"/>
      <c r="B172" s="37"/>
      <c r="C172" s="38"/>
      <c r="D172" s="40"/>
      <c r="E172" s="39"/>
      <c r="F172" s="41"/>
      <c r="G172" s="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15">
      <c r="A173" s="36"/>
      <c r="B173" s="37"/>
      <c r="C173" s="38"/>
      <c r="D173" s="40"/>
      <c r="E173" s="39"/>
      <c r="F173" s="41"/>
      <c r="G173" s="7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15">
      <c r="A174" s="36"/>
      <c r="B174" s="37"/>
      <c r="C174" s="38"/>
      <c r="D174" s="40"/>
      <c r="E174" s="39"/>
      <c r="F174" s="41"/>
      <c r="G174" s="7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15">
      <c r="A175" s="36"/>
      <c r="B175" s="37"/>
      <c r="C175" s="38"/>
      <c r="D175" s="40"/>
      <c r="E175" s="39"/>
      <c r="F175" s="41"/>
      <c r="G175" s="7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15">
      <c r="A176" s="36"/>
      <c r="B176" s="37"/>
      <c r="C176" s="38"/>
      <c r="D176" s="40"/>
      <c r="E176" s="39"/>
      <c r="F176" s="41"/>
      <c r="G176" s="7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15">
      <c r="A177" s="36"/>
      <c r="B177" s="37"/>
      <c r="C177" s="38"/>
      <c r="D177" s="40"/>
      <c r="E177" s="39"/>
      <c r="F177" s="41"/>
      <c r="G177" s="7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15">
      <c r="A178" s="36"/>
      <c r="B178" s="37"/>
      <c r="C178" s="38"/>
      <c r="D178" s="40"/>
      <c r="E178" s="39"/>
      <c r="F178" s="41"/>
      <c r="G178" s="7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15">
      <c r="A179" s="36"/>
      <c r="B179" s="37"/>
      <c r="C179" s="38"/>
      <c r="D179" s="40"/>
      <c r="E179" s="39"/>
      <c r="F179" s="41"/>
      <c r="G179" s="7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15">
      <c r="A180" s="36"/>
      <c r="B180" s="37"/>
      <c r="C180" s="38"/>
      <c r="D180" s="40"/>
      <c r="E180" s="39"/>
      <c r="F180" s="41"/>
      <c r="G180" s="7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15">
      <c r="A181" s="36"/>
      <c r="B181" s="37"/>
      <c r="C181" s="38"/>
      <c r="D181" s="40"/>
      <c r="E181" s="39"/>
      <c r="F181" s="41"/>
      <c r="G181" s="7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15">
      <c r="A182" s="36"/>
      <c r="B182" s="37"/>
      <c r="C182" s="38"/>
      <c r="D182" s="40"/>
      <c r="E182" s="39"/>
      <c r="F182" s="41"/>
      <c r="G182" s="7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15">
      <c r="A183" s="36"/>
      <c r="B183" s="37"/>
      <c r="C183" s="38"/>
      <c r="D183" s="9"/>
      <c r="E183" s="39"/>
      <c r="F183" s="7"/>
      <c r="G183" s="7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15">
      <c r="A184" s="36"/>
      <c r="B184" s="37"/>
      <c r="C184" s="38"/>
      <c r="D184" s="9"/>
      <c r="E184" s="39"/>
      <c r="F184" s="7"/>
      <c r="G184" s="7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15">
      <c r="A185" s="36"/>
      <c r="B185" s="37"/>
      <c r="C185" s="38"/>
      <c r="D185" s="9"/>
      <c r="E185" s="39"/>
      <c r="F185" s="7"/>
      <c r="G185" s="7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15">
      <c r="A186" s="36"/>
      <c r="B186" s="37"/>
      <c r="C186" s="38"/>
      <c r="D186" s="9"/>
      <c r="E186" s="39"/>
      <c r="F186" s="7"/>
      <c r="G186" s="7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15">
      <c r="A187" s="36"/>
      <c r="B187" s="37"/>
      <c r="C187" s="38"/>
      <c r="D187" s="9"/>
      <c r="E187" s="39"/>
      <c r="F187" s="7"/>
      <c r="G187" s="7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15">
      <c r="A188" s="36"/>
      <c r="B188" s="37"/>
      <c r="C188" s="38"/>
      <c r="D188" s="9"/>
      <c r="E188" s="39"/>
      <c r="F188" s="7"/>
      <c r="G188" s="7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15">
      <c r="A189" s="36"/>
      <c r="B189" s="37"/>
      <c r="C189" s="38"/>
      <c r="D189" s="9"/>
      <c r="E189" s="39"/>
      <c r="F189" s="7"/>
      <c r="G189" s="7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15">
      <c r="A190" s="36"/>
      <c r="B190" s="37"/>
      <c r="C190" s="38"/>
      <c r="D190" s="9"/>
      <c r="E190" s="39"/>
      <c r="F190" s="7"/>
      <c r="G190" s="7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15">
      <c r="A191" s="36"/>
      <c r="B191" s="37"/>
      <c r="C191" s="38"/>
      <c r="D191" s="9"/>
      <c r="E191" s="39"/>
      <c r="F191" s="7"/>
      <c r="G191" s="7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15">
      <c r="A192" s="36"/>
      <c r="B192" s="37"/>
      <c r="C192" s="38"/>
      <c r="D192" s="9"/>
      <c r="E192" s="39"/>
      <c r="F192" s="7"/>
      <c r="G192" s="7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15">
      <c r="A193" s="36"/>
      <c r="B193" s="37"/>
      <c r="C193" s="38"/>
      <c r="D193" s="9"/>
      <c r="E193" s="39"/>
      <c r="F193" s="7"/>
      <c r="G193" s="7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15">
      <c r="A194" s="36"/>
      <c r="B194" s="37"/>
      <c r="C194" s="38"/>
      <c r="D194" s="9"/>
      <c r="E194" s="39"/>
      <c r="F194" s="7"/>
      <c r="G194" s="7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15">
      <c r="A195" s="36"/>
      <c r="B195" s="37"/>
      <c r="C195" s="38"/>
      <c r="D195" s="9"/>
      <c r="E195" s="39"/>
      <c r="F195" s="7"/>
      <c r="G195" s="7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15">
      <c r="A196" s="36"/>
      <c r="B196" s="37"/>
      <c r="C196" s="38"/>
      <c r="D196" s="9"/>
      <c r="E196" s="39"/>
      <c r="F196" s="7"/>
      <c r="G196" s="7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15">
      <c r="A197" s="36"/>
      <c r="B197" s="37"/>
      <c r="C197" s="38"/>
      <c r="D197" s="9"/>
      <c r="E197" s="39"/>
      <c r="F197" s="7"/>
      <c r="G197" s="7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15">
      <c r="A198" s="36"/>
      <c r="B198" s="37"/>
      <c r="C198" s="38"/>
      <c r="D198" s="9"/>
      <c r="E198" s="39"/>
      <c r="F198" s="7"/>
      <c r="G198" s="7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15">
      <c r="A199" s="36"/>
      <c r="B199" s="37"/>
      <c r="C199" s="38"/>
      <c r="D199" s="9"/>
      <c r="E199" s="39"/>
      <c r="F199" s="7"/>
      <c r="G199" s="7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15">
      <c r="A200" s="36"/>
      <c r="B200" s="37"/>
      <c r="C200" s="38"/>
      <c r="D200" s="9"/>
      <c r="E200" s="39"/>
      <c r="F200" s="7"/>
      <c r="G200" s="7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15">
      <c r="A201" s="36"/>
      <c r="B201" s="35"/>
      <c r="C201" s="9"/>
      <c r="D201" s="9"/>
      <c r="E201" s="39"/>
      <c r="F201" s="7"/>
      <c r="G201" s="7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15">
      <c r="A202" s="36"/>
      <c r="B202" s="35"/>
      <c r="C202" s="9"/>
      <c r="D202" s="9"/>
      <c r="E202" s="39"/>
      <c r="F202" s="7"/>
      <c r="G202" s="7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15">
      <c r="A203" s="36"/>
      <c r="B203" s="35"/>
      <c r="C203" s="9"/>
      <c r="D203" s="9"/>
      <c r="E203" s="39"/>
      <c r="F203" s="7"/>
      <c r="G203" s="7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6" ht="15">
      <c r="A204" s="36"/>
      <c r="B204" s="37"/>
      <c r="C204" s="38"/>
      <c r="D204" s="40"/>
      <c r="E204" s="40"/>
      <c r="F204" s="41"/>
    </row>
    <row r="205" spans="1:6" ht="15">
      <c r="A205" s="36"/>
      <c r="B205" s="37"/>
      <c r="C205" s="38"/>
      <c r="D205" s="40"/>
      <c r="E205" s="40"/>
      <c r="F205" s="41"/>
    </row>
    <row r="206" spans="1:6" ht="15">
      <c r="A206" s="36"/>
      <c r="B206" s="37"/>
      <c r="C206" s="38"/>
      <c r="D206" s="40"/>
      <c r="E206" s="40"/>
      <c r="F206" s="41"/>
    </row>
    <row r="207" spans="1:6" ht="15">
      <c r="A207" s="36"/>
      <c r="B207" s="37"/>
      <c r="C207" s="38"/>
      <c r="D207" s="40"/>
      <c r="E207" s="40"/>
      <c r="F207" s="41"/>
    </row>
    <row r="208" spans="1:6" ht="15">
      <c r="A208" s="36"/>
      <c r="B208" s="37"/>
      <c r="C208" s="38"/>
      <c r="D208" s="40"/>
      <c r="E208" s="40"/>
      <c r="F208" s="41"/>
    </row>
    <row r="209" spans="1:6" ht="15">
      <c r="A209" s="36"/>
      <c r="B209" s="37"/>
      <c r="C209" s="38"/>
      <c r="D209" s="40"/>
      <c r="E209" s="40"/>
      <c r="F209" s="41"/>
    </row>
    <row r="210" spans="1:6" ht="15">
      <c r="A210" s="36"/>
      <c r="B210" s="37"/>
      <c r="C210" s="38"/>
      <c r="D210" s="40"/>
      <c r="E210" s="40"/>
      <c r="F210" s="41"/>
    </row>
    <row r="211" spans="1:6" ht="15">
      <c r="A211" s="36"/>
      <c r="B211" s="37"/>
      <c r="C211" s="38"/>
      <c r="D211" s="40"/>
      <c r="E211" s="40"/>
      <c r="F211" s="41"/>
    </row>
    <row r="212" spans="1:6" ht="15">
      <c r="A212" s="36"/>
      <c r="B212" s="37"/>
      <c r="C212" s="38"/>
      <c r="D212" s="40"/>
      <c r="E212" s="40"/>
      <c r="F212" s="41"/>
    </row>
    <row r="213" spans="1:6" ht="15">
      <c r="A213" s="36"/>
      <c r="B213" s="37"/>
      <c r="C213" s="38"/>
      <c r="D213" s="40"/>
      <c r="E213" s="40"/>
      <c r="F213" s="41"/>
    </row>
    <row r="214" spans="1:6" ht="15">
      <c r="A214" s="36"/>
      <c r="B214" s="37"/>
      <c r="C214" s="38"/>
      <c r="D214" s="40"/>
      <c r="E214" s="40"/>
      <c r="F214" s="41"/>
    </row>
    <row r="215" spans="1:6" ht="15">
      <c r="A215" s="36"/>
      <c r="B215" s="37"/>
      <c r="C215" s="38"/>
      <c r="D215" s="40"/>
      <c r="E215" s="40"/>
      <c r="F215" s="41"/>
    </row>
    <row r="216" spans="1:6" ht="15">
      <c r="A216" s="36"/>
      <c r="B216" s="37"/>
      <c r="C216" s="38"/>
      <c r="D216" s="40"/>
      <c r="E216" s="40"/>
      <c r="F216" s="41"/>
    </row>
    <row r="217" spans="1:6" ht="15">
      <c r="A217" s="36"/>
      <c r="B217" s="37"/>
      <c r="C217" s="38"/>
      <c r="D217" s="40"/>
      <c r="E217" s="40"/>
      <c r="F217" s="41"/>
    </row>
    <row r="218" spans="1:6" ht="15">
      <c r="A218" s="36"/>
      <c r="B218" s="37"/>
      <c r="C218" s="38"/>
      <c r="D218" s="40"/>
      <c r="E218" s="40"/>
      <c r="F218" s="41"/>
    </row>
    <row r="219" spans="1:6" ht="15">
      <c r="A219" s="36"/>
      <c r="B219" s="37"/>
      <c r="C219" s="38"/>
      <c r="D219" s="40"/>
      <c r="E219" s="40"/>
      <c r="F219" s="41"/>
    </row>
    <row r="220" spans="1:6" ht="15">
      <c r="A220" s="36"/>
      <c r="B220" s="37"/>
      <c r="C220" s="38"/>
      <c r="D220" s="40"/>
      <c r="E220" s="40"/>
      <c r="F220" s="41"/>
    </row>
    <row r="221" spans="1:6" ht="15">
      <c r="A221" s="36"/>
      <c r="B221" s="37"/>
      <c r="C221" s="38"/>
      <c r="D221" s="40"/>
      <c r="E221" s="40"/>
      <c r="F221" s="41"/>
    </row>
    <row r="222" spans="1:6" ht="15">
      <c r="A222" s="36"/>
      <c r="B222" s="37"/>
      <c r="C222" s="38"/>
      <c r="D222" s="40"/>
      <c r="E222" s="40"/>
      <c r="F222" s="41"/>
    </row>
    <row r="223" spans="1:6" ht="15">
      <c r="A223" s="36"/>
      <c r="B223" s="37"/>
      <c r="C223" s="38"/>
      <c r="D223" s="40"/>
      <c r="E223" s="40"/>
      <c r="F223" s="41"/>
    </row>
    <row r="224" spans="1:6" ht="15">
      <c r="A224" s="36"/>
      <c r="B224" s="37"/>
      <c r="C224" s="38"/>
      <c r="D224" s="40"/>
      <c r="E224" s="40"/>
      <c r="F224" s="41"/>
    </row>
    <row r="225" spans="1:6" ht="15">
      <c r="A225" s="36"/>
      <c r="B225" s="37"/>
      <c r="C225" s="38"/>
      <c r="D225" s="40"/>
      <c r="E225" s="40"/>
      <c r="F225" s="41"/>
    </row>
    <row r="226" spans="1:6" ht="15">
      <c r="A226" s="36"/>
      <c r="B226" s="37"/>
      <c r="C226" s="38"/>
      <c r="D226" s="40"/>
      <c r="E226" s="40"/>
      <c r="F226" s="41"/>
    </row>
    <row r="227" spans="1:6" ht="15">
      <c r="A227" s="36"/>
      <c r="B227" s="37"/>
      <c r="C227" s="38"/>
      <c r="D227" s="40"/>
      <c r="E227" s="40"/>
      <c r="F227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2017-08-07T15:19:06Z</cp:lastPrinted>
  <dcterms:created xsi:type="dcterms:W3CDTF">2013-03-07T15:00:21Z</dcterms:created>
  <dcterms:modified xsi:type="dcterms:W3CDTF">2017-12-05T14:14:41Z</dcterms:modified>
  <cp:category/>
  <cp:version/>
  <cp:contentType/>
  <cp:contentStatus/>
</cp:coreProperties>
</file>