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935" windowWidth="15195" windowHeight="3270" activeTab="1"/>
  </bookViews>
  <sheets>
    <sheet name="EJECUCION PRESUP. JUNIO 2017" sheetId="1" r:id="rId1"/>
    <sheet name="DETALLE DE EJECUCION POR MES" sheetId="2" r:id="rId2"/>
    <sheet name="GASTOS MES DEJUNIO 2017" sheetId="3" r:id="rId3"/>
  </sheets>
  <definedNames>
    <definedName name="_xlnm.Print_Titles" localSheetId="0">'EJECUCION PRESUP. JUNIO 2017'!$4:$4</definedName>
  </definedNames>
  <calcPr fullCalcOnLoad="1"/>
</workbook>
</file>

<file path=xl/sharedStrings.xml><?xml version="1.0" encoding="utf-8"?>
<sst xmlns="http://schemas.openxmlformats.org/spreadsheetml/2006/main" count="1162" uniqueCount="623">
  <si>
    <t>DOCUMENT MANAGEMENT SOLUTION DMS SOCIEDAD DE RESPO</t>
  </si>
  <si>
    <t>COMPA#IA NACIONAL DE FUERZA Y LUZ S A</t>
  </si>
  <si>
    <t>Informe de Gastos mes de JUNIO,2017</t>
  </si>
  <si>
    <t>TRANSF. BANCO 6047</t>
  </si>
  <si>
    <t>REINTEGRO DEL FONDO CAJA CHICA DE PROVEEDURÍA NÚMERO 1172</t>
  </si>
  <si>
    <t>TRANSF. BANCO 1373697</t>
  </si>
  <si>
    <t>BANCO NACIONAL DE COSTA RICA</t>
  </si>
  <si>
    <t>Recarga Automática Tarjeta Quick Pass</t>
  </si>
  <si>
    <t>TRANSF. BANCO 6048</t>
  </si>
  <si>
    <t xml:space="preserve">JANET CARRILLO MADRIGAL </t>
  </si>
  <si>
    <t>REINTEGRO DE DINERO FACTURA 0423, COMPRA DE 105 BOTONES  IDENTIFIACIÓN COMISIÓN ELECCIÓN FIDEICOMISO</t>
  </si>
  <si>
    <t>TRANSF. BANCO 6049</t>
  </si>
  <si>
    <t>REINTEGRO DEL FONDO CAJA CHICA COMBUSTIBLE DE PROVEEDURÍA NÚMERO 1175</t>
  </si>
  <si>
    <t>TRANSF. BANCO 21095006</t>
  </si>
  <si>
    <t>Transf. SRA-1174-17 C.Chica-Limón(1338)</t>
  </si>
  <si>
    <t>TRANSF. BANCO 21095433</t>
  </si>
  <si>
    <t>Transf.SRCH-1171-17 CChica-Liberia(1339)</t>
  </si>
  <si>
    <t>TRANSF. BANCO 21206976</t>
  </si>
  <si>
    <t>ADELANTO GIRA ISLA CHIRA REALIZAR ENCUESTAS DEL PROGRAMA SOBRE POBREZA</t>
  </si>
  <si>
    <t>TRANSF. BANCO 6053</t>
  </si>
  <si>
    <t>REINTEGRO DEL FONDO CAJA CHICA DE PROVEEDURÍA NÚMERO 1177</t>
  </si>
  <si>
    <t>TRANSF. BANCO 6052</t>
  </si>
  <si>
    <t>LUCASPANI S. A.</t>
  </si>
  <si>
    <t>150 CAJAS DE CARTÓN PARA USB, TIPO TARJETA CON LOGO DE LA DHR, FACTURA 1029</t>
  </si>
  <si>
    <t>TRANSF. BANCO 6051</t>
  </si>
  <si>
    <t>SERVICIO DE ALIMENTACIÓN CELEBRACIÓN DIA MUNDIAL DEL AMBIENTE, FACTURA 0409, ACTIVIDAD CON NIÑOS Y NIÑAS DE  PRIMARIA DE LA ESCUELA COSTA RICA, COMISIÓN PIGA.</t>
  </si>
  <si>
    <t>TRANSF. BANCO 21207263</t>
  </si>
  <si>
    <t>Transf. SRB-1167-17 CajaChica-P.Z.(1341)</t>
  </si>
  <si>
    <t>TRANSF. BANCO 6054</t>
  </si>
  <si>
    <t>REINTEGRO DEL FONDO CAJA CHICA COMBUSTIBLE DE PROVEEDURÍA NÚMERO 1180</t>
  </si>
  <si>
    <t>TRANSF. BANCO 21394839</t>
  </si>
  <si>
    <t>ADELANTO GIRA A BUENOS AIRES DE PUNTARENAS, TRASLADAR A LA FUNCIONARIA MARJORIE HERRERA CASTRO</t>
  </si>
  <si>
    <t>TRANSF. BANCO 21473386</t>
  </si>
  <si>
    <t xml:space="preserve">Hannia Silesky Jiménez </t>
  </si>
  <si>
    <t>ADELANTO GIRA A LIMÓN, TALLER DE TRABAJO CON EL EQUIPO DE EVALUACIÓN EN VALLE LA ESTRELLA Y TALLERES EN CENTROS LIBRES DE DICRIMINACIÓN RACIAL</t>
  </si>
  <si>
    <t>TRANSF. BANCO 21473713</t>
  </si>
  <si>
    <t xml:space="preserve">Ana Lorena Montero Badilla </t>
  </si>
  <si>
    <t>TRANSF. BANCO 21474037</t>
  </si>
  <si>
    <t xml:space="preserve">RebecaGallardoBarquero </t>
  </si>
  <si>
    <t>TRANSF. BANCO 21622255</t>
  </si>
  <si>
    <t>Julio Hernández Ramírez -Ad.PViejo(1346)</t>
  </si>
  <si>
    <t>ADELANTO GIRA A LIMÓN, TRASLADO DE LAS FUNCIONARIAS, HANNIA SILESKY, REBECA GALLARDO Y ANA LORENA MONTERO</t>
  </si>
  <si>
    <t>TRANSF. BANCO 21622489</t>
  </si>
  <si>
    <t>ADELANTO GIRA A PUNTARENAS, TRASLADO FUNCIONARIOS: FLOR MOYA, IRENE PACHECO, ANA KARINA ZELEDON Y CARLOS LEÓN</t>
  </si>
  <si>
    <t>TRANSF. BANCO 21622717</t>
  </si>
  <si>
    <t xml:space="preserve">Flor Ma. Moya Álvarez </t>
  </si>
  <si>
    <t>ADELANTO GIRA A PUNTARENAS, REALIZACIÓN ENCUENTAS EN ISLA VENADO</t>
  </si>
  <si>
    <t>TRANSF. BANCO 21622941</t>
  </si>
  <si>
    <t>Irene Pacheco Alfaro</t>
  </si>
  <si>
    <t>TRANSF. BANCO 21623263</t>
  </si>
  <si>
    <t>TRANSF. BANCO 21623713</t>
  </si>
  <si>
    <t xml:space="preserve">Carlos Edo.León Ureña </t>
  </si>
  <si>
    <t>TRANSF. BANCO 21624395</t>
  </si>
  <si>
    <t>Transf. SRHN-1179-17 C.Ch.-SCarlos(1352)</t>
  </si>
  <si>
    <t>TRANSF. BANCO 21746322</t>
  </si>
  <si>
    <t xml:space="preserve">Luis Ángel ObregónGómez </t>
  </si>
  <si>
    <t>ADELANTO GIRA A SAN CARLOS, CONFIGURACIÓN DE VNP SEDE REGIONAL HUETAR NORTE</t>
  </si>
  <si>
    <t>TRANSF. BANCO 6056</t>
  </si>
  <si>
    <t>KAREN ROMÁN GUERRERO *PSG_1184-17</t>
  </si>
  <si>
    <t>TRANSF. BANCO 6055</t>
  </si>
  <si>
    <t>REINTEGRO DEL FONDO CAJA CHICA DE TESORERÍA NÚMERO 1183</t>
  </si>
  <si>
    <t>TRANSF. BANCO 21838296</t>
  </si>
  <si>
    <t>Ivannia Monge Naranjo</t>
  </si>
  <si>
    <t>CO-FACILITACIÓN DOS DÍAS CURSO ESCUELAS LIBRES DE DISCRIMINACIÓN RACIAL Y SECTOR EDUCATIVO MEP</t>
  </si>
  <si>
    <t>TRANSF. BANCO 21838596</t>
  </si>
  <si>
    <t xml:space="preserve">Luis Gmo. Quesada García </t>
  </si>
  <si>
    <t>ADELANTO GIRA A PUESTO VIEJO, LIMÓN, TRASLADO DE LA FUNCIONARIA IVANNIA MONGE NARANJO</t>
  </si>
  <si>
    <t>TRANSF. BANCO 21915449</t>
  </si>
  <si>
    <t>Transf.SRPC-1176-17 C.Chica-Ptnas.(1356)</t>
  </si>
  <si>
    <t>TRANSF. BANCO 6057</t>
  </si>
  <si>
    <t>REINTEGRO DEL FONDO CAJA CHICA COMBUSTIBLE DE PROVEEDURÍA NÚMERO 1185</t>
  </si>
  <si>
    <t>TRANSF. BANCO 21915450</t>
  </si>
  <si>
    <t>Lorna Elizondo Cubillo</t>
  </si>
  <si>
    <t>ADELANTO GIRA A CORREDORES, GOLFITO, INSPECCIONES FUEZA PUBLICA CANOAS Y CIUDAD NEILLY, RIO CLARO, GOLFITO OIJ, CIUDAD NEILLY Y GOLFITO</t>
  </si>
  <si>
    <t>TRANSF. BANCO 22310161</t>
  </si>
  <si>
    <t xml:space="preserve">Esteban Vargas Ramírez </t>
  </si>
  <si>
    <t>TRANSF. BANCO 22405766</t>
  </si>
  <si>
    <t>ADELANTO GIRA A CORREDORES, TRASLADO LORNA ELIZONDO  Y ESTEBAN VARGAS RAMIREZ</t>
  </si>
  <si>
    <t>TRANSF. BANCO 6058</t>
  </si>
  <si>
    <t>REINTEGRO DEL FONDO CAJA CHICA DE TESORERÍA NÚMERO 1186</t>
  </si>
  <si>
    <t>TRANSF. BANCO 22463111</t>
  </si>
  <si>
    <t>YANCY MORA GONZALEZ</t>
  </si>
  <si>
    <t>Transf.SRSS-1178-17 CChica-C.Neily(1360)</t>
  </si>
  <si>
    <t>TRANSF. BANCO 22463383</t>
  </si>
  <si>
    <t>Transf. SRB-1182-17 CajaChica-P.Z.(1361)</t>
  </si>
  <si>
    <t>TRANSF. BANCO 6060</t>
  </si>
  <si>
    <t>REINTEGRO DEL FONDO CAJA CHICA DE PROVEEDURÍA NÚMERO 1188</t>
  </si>
  <si>
    <t>TRANSF. BANCO 6059</t>
  </si>
  <si>
    <t>REINTEGRO DEL FONDO CAJA CHICA COMBUSTIBLE DE PROVEEDURÍA NÚMERO 1187</t>
  </si>
  <si>
    <t>TRANSF. BANCO 22738934</t>
  </si>
  <si>
    <t xml:space="preserve">AnaL. Montero Badilla </t>
  </si>
  <si>
    <t>ADELANTO GIRA A LIBERIA, REUNIONES E INVITACIONES  EVALUACIÓN PARTICIPATIVA SERVICIOS PREVENCIÓN Y ATENCIÓN CÁNCER EN EL VALLE DE LA ESTRELLA</t>
  </si>
  <si>
    <t>TRANSF. BANCO 22739167</t>
  </si>
  <si>
    <t>ADELANTO GIRA A LIBERIA, TRASLADO FUNCIONARIA ANA LORENA MONTERO BADILLA</t>
  </si>
  <si>
    <t>TRANSF. BANCO 22739360</t>
  </si>
  <si>
    <t>Carlos J. Valerio Monge</t>
  </si>
  <si>
    <t>ADELANTO GIRA A SAN CARLOS, CURSO DERECHO A LA SALUD HOSPITAL SAN CARLOS</t>
  </si>
  <si>
    <t>TRANSF. BANCO 6061</t>
  </si>
  <si>
    <t>REINTEGRO DEL FONDO CAJA CHICA DE TESORERÍA NÚMERO 1189</t>
  </si>
  <si>
    <t>TRANSF. BANCO 22842868</t>
  </si>
  <si>
    <t>ADELANTO GIRA A SAN CARLOS, TRASLADO DEL SR. CARLOS VALERIO MONGE</t>
  </si>
  <si>
    <t>SPMPO-058-2017 CTA #TRANF.CTES</t>
  </si>
  <si>
    <t>Defensoría Habitantes, SPMPO N°058, MERLINK Mant.Prev.Veh.821892  Contrato043003/SP.200024  Reg.103-808-10805</t>
  </si>
  <si>
    <t>Defensoría Habitantes, SPMPO N°058, MERLINK Mant.Prev.Veh.DH-37  Contrato043003/SP.200024  Reg.103-808-10805</t>
  </si>
  <si>
    <t>Defensoría Habitantes, SPMPO N°058, MERLINK Mant.Prev.Veh.DH-32  Contrato043003/SP.200024  Reg.103-808-10805</t>
  </si>
  <si>
    <t>Defensoría Habitantes, SPMPO N°058, MERLINK Mant.Prev.Veh.DH-30  Contrato043009/SP.200024  Reg.103-808-10805</t>
  </si>
  <si>
    <t>Defensoría Habitantes, SPMPO N°058, MERLINK Mant.Prev.Veh.DH-32  Contrato043009/SP.200024  Reg.103-808-10805</t>
  </si>
  <si>
    <t>Defensoría Habitantes, SPMPO N°058, MERLINK Mant.Prev.Veh.DH-34  Contrato043003/SP.200024  Reg.103-808-10805</t>
  </si>
  <si>
    <t>Defensoría Habitantes, SPMPO N°058, MERLINK Mant.Prev.Veh.DH-25  Contrato043003/SP.200024  Reg.103-808-10805</t>
  </si>
  <si>
    <t>LABORATORIOS QUIMICOS ARVI S A</t>
  </si>
  <si>
    <t>Defensoría Habitantes, SPMPO N°058, MERLINK 15unid.120ml Gluconato de Clorhexicna al 4%, marca Cloridex  Contrato043028/SP.200055  Reg.103-808-20102</t>
  </si>
  <si>
    <t>CYBERFUEL S A</t>
  </si>
  <si>
    <t>Defensoría Habitantes, SPMPO N°058, MERLINK Serv.Cloud Computing Período 30-03-2017 a 30-03-2018  Contrato045002/SP.200051  Reg.103-808-10204 ($598 x ¢565.21)</t>
  </si>
  <si>
    <t>Defensoría Habitantes, SPMPO N°058, Alquiler Estacionam. DH-26 Ofic.Reg.Liberia MAY-17  Fact.Gob.303-17  OP.17052/SP.200073  Reg.103-808-10101</t>
  </si>
  <si>
    <t>Defensoría Habitantes, SPMPO N°058, Monitoreo y Resp. Armada Alarma Ofic.Reg.Cdad.Neilly MAY-17  Fact.Gob.309-17  OP.17026/SP.200012  Reg.103-808-10406</t>
  </si>
  <si>
    <t>Defensoría Habitantes, SPMPO Nº058, Serv.Custodia y Adm.Documentos MAY-17  Fact.Gob.312-17  OP.17080/SP.200107   Reg.103-808-10406 ¢404,278.98 (2%Ret.¢8,085.58)</t>
  </si>
  <si>
    <t>Defensoría Habitantes, SPMPO N°058, Alquiler Local Ofic.Reg.Cdad.Neilly 28/04/17-28/05/17  Fact.Gob.314-17  OP.17053/SP.200073  Reg.103-808-10101 ¢633,138 (2%Ret.¢12,662.75)</t>
  </si>
  <si>
    <t>Defensoría Habitantes, SPMPO N°058, Serv.Electricidad Ofic.Reg.Liberia MAY-17  Fact.Gob.322-17  OP.17046/SP.200061  Reg.103-808-10202 (Vence16/06/17 NISE 667461)</t>
  </si>
  <si>
    <t>EQUIPOS E INSTALACIONES ELECTROMECANICAS EQUILSA L</t>
  </si>
  <si>
    <t>Defensoria Habitantes, SPMPO N°058, Mant.Prev.: Sist.FijoSupresión de Incendios Mar,Abr,May-17 y Sist.Detección de Incendios Mar17-Ago17  Fact.Gob.321-17  OP.17033/SP.200025  Reg.103-808-10804 ¢1,043,750 (2%Ret.¢20,875)</t>
  </si>
  <si>
    <t>YURLANDY HIDALGO ARCE</t>
  </si>
  <si>
    <t>Defensoría Habitantes, SPMPO N°058, Serv.Interpretación Lesco 24/05/17 en Of.Ctl.DHR, Plan de Pre-Jubilación  Fact.Gob.340-17  OP.17081/SP.200108  Reg.103-808-10499</t>
  </si>
  <si>
    <t>Defensoría Habitantes, SPMPO N°058, Serv.Interpretación Lesco 30/05/17 en Of.Ctl.DHR, Día Nal.Personas con Discapacdad  Fact.Gob.344-17  OP.17081/SP.200108  Reg.103-808-10499</t>
  </si>
  <si>
    <t>Defensoría Habitantes, SPMPO N°058, Cobro Serv.Uso de la Plataforma MERLINK NOV-16 (SaldoPend)  Fact.Gob.345-17  OP.17024/SP.200010  Reg.103-808-10306 ¢81,096.38 (2%Ret.¢1,621.93)</t>
  </si>
  <si>
    <t>Defensoría Habitantes, SPMPO N°058, VIÁTICOS Pago Giras: Canoas 18,19/05/17 ¢37,150 y  Cdad.Neilly 24,25,26/05/17 ¢70,350   Res.100018  Reg.103-808-10502</t>
  </si>
  <si>
    <t>Defensoría Habitantes, SPMPO N°058, VIÁTICOS Pago Gira Los Chiles 16/05/17   Res.100067  Reg.103-808-10502</t>
  </si>
  <si>
    <t>Defensoría Habitantes, SPMPO N°058, VIÁTICOS Pago Gira PZ y Cdad.Neilly 22,23/05/17   Res.100067  Reg.103-808-10502</t>
  </si>
  <si>
    <t>Defensoría Habitantes, SPMPO N°058, VIÁTICOS Pago Gira PZ 22,23/05/17   Res.100067  Reg.103-808-10502</t>
  </si>
  <si>
    <t>Defensoría Habitantes, SPMPO N°058, VIÁTICOS Pago Giras: San José 15,16/05/17 ¢46,200 y Sixaola 18/05/17 ¢8,350  Res.100067  Reg.103-808-10502</t>
  </si>
  <si>
    <t>SPMPO-059-2017 CTA #TRANF.CTES</t>
  </si>
  <si>
    <t>MINISTERIO DE HACIENDA 2% RENTA</t>
  </si>
  <si>
    <t>Defensoría Habitantes, SPMPO N°059, Pago retención del 2% Impuesto sobre la renta de mayo 2017</t>
  </si>
  <si>
    <t>SPMPO-060-2017 CTA #TRANF.CTES</t>
  </si>
  <si>
    <t>Defensoría Habitantes, SPMPO N°060, MERLINK Serv.Hosp.Telefonía IP Hospedado en la Nube (Alq) MAY-17  Contrato044001/SP.200001  Reg.103-808-10204 ¢500,00 (2%Ret.¢10,000)</t>
  </si>
  <si>
    <t>Defensoría Habitantes, SPMPO N°060, MERLINK Serv.Hosp.Telefonía IP Hospedado en la Nube (Tel) MAY17  Contrato044001/SP.200001 ¢81,303.64 y OP.17083/SP.200123 ¢122,594.53  Reg.103-808-10204 ¢203,898.17 (2%Ret.¢4,077.96)</t>
  </si>
  <si>
    <t>SALAS PORTONES Y SISTEMAS AUTOMATICOS SOCIEDAD ANO</t>
  </si>
  <si>
    <t>Defensoría Habitantes, SPMPO N°060, MERLINK Mant.Prev.Puerta Automátca Peatonal Corrediza  Contrato043010/SP.200048  Reg.103-808-10801</t>
  </si>
  <si>
    <t>Defensoría Habitantes, SPMPO N°060, Serv.Parqueo DH-29 de Sede Reg.Limón 15/04/17-15/05/17  Fact.Gob.343-17  OP.17057/SP.200073  Reg.103-808-10101</t>
  </si>
  <si>
    <t>Defensoría Habitantes, SPMPO Nº060, Serv.Adm.Flotilla y Localizac.Satelital GPS, 12 Dispositivos Rastreo y Acceso Web MAY-17  Fact.Gob.346-17  OP.17049/SP.200062  Reg.103-808-10204 ¢171,612 (2%Ret.¢3,432.25)</t>
  </si>
  <si>
    <t>Defensoría Habitantes, SPMPO N°060, VIÁTICOS Pago Giras SanJosé: 17/05/17 ¢3,200 y  23,24/05/17 ¢8,350  Res.100067  Reg.103-808-10502</t>
  </si>
  <si>
    <t>JUAN JOSE ARROYO SANCHEZ</t>
  </si>
  <si>
    <t>Defensoría Habitantes, SPMPO N°060, VIÁTICOS Pago Gira Quepos 19/05/17  Res.100067  Reg.103-808-10502</t>
  </si>
  <si>
    <t>Defensoría Habitantes, SPMPO N°060, VIÁTICOS Pago Giras SanJosé: 21,22/05/17 ¢37,850 y  28,29/05/17 ¢37,849.60  Res.100067  Reg.103-808-10502</t>
  </si>
  <si>
    <t>Defensoría Habitantes, SPMPO N°060, Alquiler Local Ofic.Reg.Liberia MAY-17  Fact.Gob.342-17   OP.17054/SP.200073  Reg.103-808-10101 ¢703,975 (2%Ret.¢14,079.50)</t>
  </si>
  <si>
    <t>SPMPO-061-2017 CTA #TRANF.CTES</t>
  </si>
  <si>
    <t>Defensoría Habitantes, SPMPO Nº061, Reintegro Fdo.Trabajo-2017 DHR  Res.100065  Reg.103-808-10101</t>
  </si>
  <si>
    <t>Defensoría Habitantes, SPMPO Nº061, Reintegro Fdo.Trabajo-2017 DHR  Res.100066  Reg.103-808-10303</t>
  </si>
  <si>
    <t>Defensoría Habitantes, SPMPO Nº061, Reintegro Fdo.Trabajo-2017 DHR  Res.100056  Reg.103-808-10501</t>
  </si>
  <si>
    <t>Defensoría Habitantes, SPMPO Nº061, Reintegro Fdo.Trabajo-2017 DHR  Res.100067  Reg.103-808-10502</t>
  </si>
  <si>
    <t>Defensoría Habitantes, SPMPO Nº061, Reintegro Fdo.Trabajo-2017 DHR  Res.100020 ¢3,755 y Res.100077 ¢130,075  Reg.103-808-10701</t>
  </si>
  <si>
    <t>Defensoría Habitantes, SPMPO Nº061, Reintegro Fdo.Trabajo-2017 DHR  Res.100074 ¢408,524 y Res.100076 ¢144,189  Reg.103-808-20101</t>
  </si>
  <si>
    <t>Defensoría Habitantes, SPMPO Nº061, Reintegro Fdo.Trabajo-2017 DHR  Res.100060  Reg.103-808-20301</t>
  </si>
  <si>
    <t>SPMPO-062-2017 CTA #TRANF.CTES</t>
  </si>
  <si>
    <t>Defensoría Habitantes, SPMPO N°062, MERLINK Mant.Prev.Veh.DH-22  Contrato043003/SP.200024  Reg.103-808-10805</t>
  </si>
  <si>
    <t>Defensoría Habitantes, SPMPO Nº062, MERLINK Serv.Alimentación 08,09,10,11,12-Mayo-2017   Contrato043024/SP.200094  Reg.103-808-10701 ¢556,500 (2%Ret.¢11,130)</t>
  </si>
  <si>
    <t>Defensoría Habitantes, SPMPO Nº062, MERLINK Serv.Monitoreo Noticias MAY-17  Contrato017074/SP.200082   Reg.103-808-10499</t>
  </si>
  <si>
    <t>TURVI S A</t>
  </si>
  <si>
    <t>Defensoría Habitantes, SPMPO Nº062, MERLINK Tiq.Aéreo Marvin Herrera Carro SJ/Mex/SJ  Contrato043031/SP.200112   Reg.103-808-10503 ($293.38 x ¢575.47)</t>
  </si>
  <si>
    <t>Defensoría Habitantes, SPMPO N°062, VIÁTICOS Pago Gira La Cruz 24,25/05/17  Res.100067  Reg.103-808-10502</t>
  </si>
  <si>
    <t>CARLOS JOSE VALERIO MONGE</t>
  </si>
  <si>
    <t>Defensoría Habitantes, SPMPO N°062, VIÁTICOS Pago Gira Liberia 29,30,31/05,01/06/17  Res.100067  Reg.103-808-10502</t>
  </si>
  <si>
    <t>Defensoría Habitantes, SPMPO N°062, VIÁTICOS Pago Gira San José 01/06/17  Res.100067  Reg.103-808-10502</t>
  </si>
  <si>
    <t>MARIO ZAMORA CORDERO</t>
  </si>
  <si>
    <t>Defensoría Habitantes, SPMPO N°062, VIÁTICOS Pago Gira Isla Chira 25,26,27/05/17  Res.100067  Reg.103-808-10502</t>
  </si>
  <si>
    <t>Defensoría Habitantes, SPMPO N°062, VIÁTICOS Pago Gira Isla Chira 25,26,27/05/17  Res.100056  Reg.103-808-10501</t>
  </si>
  <si>
    <t>SPMPO-063-2017 CTA #TRANF.CTES</t>
  </si>
  <si>
    <t>Defensoría Habitantes, SPMPO Nº063, Cont.Pat.Seg.Salud Enf.y Maternidad 9.25% Planilla Fija MAY-17  Fact.Gob.348-17  Res.100001  Reg.103-808-00401</t>
  </si>
  <si>
    <t>Defensoría Habitantes, SPMPO Nº063, Cont.Pat.Seg.Pensiones 5.08% Planilla Fija MAY-17  Fact.Gob.348-17  Res.100002  Reg.103-808-00501</t>
  </si>
  <si>
    <t>Defensoría Habitantes, SPMPO Nº063, Aporte Pat.Reg.Oblig.Pens.1.5% Planilla Fija MAY-17  Fact.Gob.349-17  Res.100004  Reg.103-808-00502</t>
  </si>
  <si>
    <t>Defensoría Habitantes, SPMPO Nº063, Aporte Pat.Fdo.Cap.Laboral 3% Planilla Fija MAY-17  Fact.Gob.350-17  Res.100005  Reg.103-808-00503</t>
  </si>
  <si>
    <t>Defensoría Habitantes, SPMPO Nº063, Aporte Pat.Banco Popular 0.50% Planilla Fija MAY-17  Fact.Gob.351-17  Res.100003  Reg.103-808-00405</t>
  </si>
  <si>
    <t>SPMPO-064-2017 CTA #TRANF.CTES</t>
  </si>
  <si>
    <t>Defensoría Habitantes, SPMPO N°064, Pago 5% Aporte Patronal MAY-2017  Fact.Gob.352-17  Res.100009  Reg.103-808-00505</t>
  </si>
  <si>
    <t>Defensoría Habitantes, SPMPO N°064, Serv.AyA Ofic.Reg.Ptnas.03/05/17  Fact.Gob.360-17  OP.17058/SP.200074   Reg.103-808-10201</t>
  </si>
  <si>
    <t>Defensoría Habitantes, SPMPO N°064, Serv.AyA Ofic.Reg.C.Neilly 10/05/17  Fact.Gob.361-17  OP.17058/SP.200074   Reg.103-808-10201</t>
  </si>
  <si>
    <t>Defensoría Habitantes, SPMPO N°064, Serv.AyA Ofic.Ctl.DHR 16/05/17  Fact.Gob.362-17  OP.17058/SP.200074   Reg.103-808-10201 ¢1,314,150 (2%Ret.¢26,283)</t>
  </si>
  <si>
    <t>Defensoría Habitantes, SPMPO N°064, Serv.AyA Ofic.Reg.Limón 02/05/17  Fact.Gob.363-17  OP.17058/SP.200074   Reg.103-808-10201</t>
  </si>
  <si>
    <t>Defensoría Habitantes, SPMPO N°064, Serv.AyA Ofic.Reg.Liberia 08/05/17  Fact.Gob.364-17  OP.17058/SP.200074   Reg.103-808-10201</t>
  </si>
  <si>
    <t>Defensoría Habitantes, SPMPO N°064, VIÁTICOS Pago Giras: SanJosé: 30,31/05/17 y 01/06/17 ¢8,350c/u  Res.100067  Reg.103-808-10502</t>
  </si>
  <si>
    <t>Defensoría Habitantes, SPMPO N°064, VIÁTICOS Pago Gira SanJosé 04,05/06/17  Res.100067  Reg.103-808-10502</t>
  </si>
  <si>
    <t>MARJORIE HERRERA CASTRO</t>
  </si>
  <si>
    <t>Defensoría Habitantes, SPMPO N°064, VIÁTICOS Pago Gira Bº Aires 09,10/06/17  Res.100067  Reg.103-808-10502</t>
  </si>
  <si>
    <t>Defensoría Habitantes, SPMPO N°064, VIÁTICOS Pago Gira San José 01/06/17  Res.100067  Reg.103-808-10502</t>
  </si>
  <si>
    <t>Defensoría Habitantes, SPMPO N°064, VIÁTICOS Pago Gira San José 01/06/17  Res.100056  Reg.103-808-10501</t>
  </si>
  <si>
    <t>SPMPO-065-2017 CTA #TRANF.CTES</t>
  </si>
  <si>
    <t>Defensoría Habitantes, SPMPO N°065, MERLINK Mant.Prev.Veh.DH-16  Contrato043003/SP.200024  Reg.103-808-10805</t>
  </si>
  <si>
    <t>Defensoría Habitantes, SPMPO N°065, MERLINK Mant.Prev.Veh.DH-23  Contrato043003/SP.200024  Reg.103-808-10805</t>
  </si>
  <si>
    <t>Defensoría Habitantes, SPMPO Nº065, Serv.Electricidad Ofic.Ctl.DHR JUN-17  Fact.Gob.370-17  OP.17061/SP.200075  Reg.103-808-10202 ¢1,626,555 (2%Ret.¢32,531.10)  (Vence 21/06/17 NISE 497430)</t>
  </si>
  <si>
    <t>Defensoría Habitantes, SPMPO N°065, Serv.AguaMedida, Recolecc.Basura MAY-17   Fact.Gob.371-17  OP.17065/SP.200077  Reg.103-808-10299</t>
  </si>
  <si>
    <t>Defensoría Habitantes, SPMPO N°065, Serv.Interpretación Lesco 14/05/17, Charla Monumento Nal. Guayabo  Fact.Gob.374-17  OP.17084/SP.200104  Reg.103-808-10499</t>
  </si>
  <si>
    <t>Defensoría Habitantes, SPMPO Nº065, Serv.Correo Electrónico Certificado 13/05/16-12/06/17  Fact.Gob.375-17  OP.17068/SP.200080  Reg.103-808-10307 ¢915,448.81 (2%Ret.¢18,308.96)</t>
  </si>
  <si>
    <t>GIOVANNI BARBOZA RAMIREZ</t>
  </si>
  <si>
    <t>Defensoría Habitantes, SPMPO N°065, VIÁTICOS Pago Viaje Quito, Ecuador 15-19/05/17  Res.100011  Reg.103-808-10504</t>
  </si>
  <si>
    <t>SPMPO-066-2017 CTA #TRANF.CTES</t>
  </si>
  <si>
    <t>Defensoría Habitantes, SPMPO Nº066, Reintegro Fdo.Trabajo-2017 DHR  Res.100065  Reg.103-808-10101</t>
  </si>
  <si>
    <t>Defensoría Habitantes, SPMPO Nº066, Reintegro Fdo.Trabajo-2017 DHR  Res.100055  Reg.103-808-10406</t>
  </si>
  <si>
    <t>Defensoría Habitantes, SPMPO Nº066, Reintegro Fdo.Trabajo-2017 DHR  Res.100056  Reg.103-808-10501</t>
  </si>
  <si>
    <t>Defensoría Habitantes, SPMPO Nº066, Reintegro Fdo.Trabajo-2017 DHR  Res.100067  Reg.103-808-10502</t>
  </si>
  <si>
    <t>Defensoría Habitantes, SPMPO Nº066, Reintegro Fdo.Trabajo-2017 DHR  Res.100076  Reg.103-808-20101</t>
  </si>
  <si>
    <t>SPMPO-067-2017 CTA #TRANF.CTES</t>
  </si>
  <si>
    <t>Defensoría Habitantes, SPMPO Nº067, Serv.Electricidad Ofic.Reg.Cdad.Neilly JUN-17  Fact.Gob.366-17  OP.17059/SP.200075  Reg.103-808-10202 (Vence 30/06/17  NISE 773938)</t>
  </si>
  <si>
    <t>Defensoría Habitantes, SPMPO Nº067, Serv.Electricidad Ofic.Reg.Ptnas. JUN-17  Fact.Gob.367-17  OP.17059/SP.200075  Reg.103-808-10202 (Vence 30/06/17  NISE 777444)</t>
  </si>
  <si>
    <t>Defensoría Habitantes, SPMPO Nº067, Serv.Electricidad Ofic.Reg.P.Z. MAY-17  Fact.Gob.368-17   OP.17059/SP.200075  Reg.103-808-10202 (Vence 26/06/17  NISE 865745)</t>
  </si>
  <si>
    <t>Defensoría Habitantes, SPMPO Nº067, Serv.Electricidad Ofic.Reg.Limón JUN-17  Fact.Gob.369-17  OP.17059/SP.200075  Reg.103-808-10202 (Vence 30/06/17  NISE 286343)</t>
  </si>
  <si>
    <t>Defensoría Habitantes, SPMPO N°067, Serv.Electricidad Ofic.Reg.San Carlos 376-17  Fact.Gob.376-17  OP.17060/SP.200075  Reg.103-808-10202 (Vence 26/06/17)</t>
  </si>
  <si>
    <t>INSTITUTO NACIONAL DE SEGUROS</t>
  </si>
  <si>
    <t>Defensoría Habitantes, SPMPO N°067, Variación Póliza Incendio 01-01-INC-569138-13 16/05/17-31/12/17  Fact.Gob.373-17  OP.17086/SP.200128  Reg.103-808-10601 ¢28,012 (2%Ret.¢560.25)</t>
  </si>
  <si>
    <t>Defensoría Habitantes, SPMPO N°067, Alquiler Estacionam. DH-26 Ofic.Reg.Liberia JUN-17  Fact.Gob.347-17  OP.17052/SP.200073  Reg.103-808-10101</t>
  </si>
  <si>
    <t>Defensoría Habitantes, SPMPO N°067, Serv.Interpretación Lesco 16/06/17 Capacitación Charla Plan de Prejubilación  Fact.Gob.386-17  OP.17081/SP.200108  Reg.103-808-10499</t>
  </si>
  <si>
    <t>SPMPO-068-2017 CTA #TRANF.CTES</t>
  </si>
  <si>
    <t>Defensoría Habitantes, SPMPO N°068, MERLINK Mant.Prev.Veh.DH-23  Contrato043003/SP.200024  Reg.103-808-10805</t>
  </si>
  <si>
    <t>Defensoría Habitantes, SPMPO N°068, MERLINK Mant.Prev.Veh.Placa 821892  Contrato043045/SP.200024  Reg.103-808-10805</t>
  </si>
  <si>
    <t>ICC INGENIERIA CONSULTORIA Y CONSTRUCCION SRL</t>
  </si>
  <si>
    <t>Defensoría Habitantes, SPMPO N°068, MERLINK Serv.Reemplazo Ventanas de Vidrio e Instal. Películas  Contrato043039/SP.200105  Reg.103-808-10801</t>
  </si>
  <si>
    <t>COMERCIALIZADORA S Y G INTERNACIONAL S A</t>
  </si>
  <si>
    <t>Defensoría Habitantes, SPMPO N°068, MERLINK 2-Silla Ergonómica Operativa, Activos 5863, 5864  Contrato042001/SP.200127  Reg.103-808-50104</t>
  </si>
  <si>
    <t>GMG COMERCIAL COSTA RICA S A</t>
  </si>
  <si>
    <t>Defensoría Habitantes, SPMPO N°068, MERLINK 9-Abanico Torre Telstar 36",  Activos 5850-5858  Contrato043033/SP.200085  Reg.103-808-50104</t>
  </si>
  <si>
    <t>DISTRIBUIDORA ALTERNATIVA S. A.</t>
  </si>
  <si>
    <t>Defensoría Habitantes, SPMPO N°068, MERLINK 15-Ampolla 50mg Tramadol Clorhidrato y 3-Ampolla 1mg Adrenalina  Contrato043029/SP.200055  Reg.103-808-20102</t>
  </si>
  <si>
    <t>SERVICIO DE MONITOREO ELECTRONICO ALFA SOCIEDAD AN</t>
  </si>
  <si>
    <t>Defensoría Habitantes, SPMPO N°068, MERLINK Serv.Monitoreo Alarma y Resp.Armada Ofics.Regs. PZ, Ptnas, Limón y Liberia ABR-17  OP.17072/SP.200081  Reg.103-808-10406</t>
  </si>
  <si>
    <t>Defensoría Habitantes, SPMPO N°068, MERLINK Serv.Monitoreo Alarma y Resp.Armada Ofic.Reg. SanCarlos ABR-17  OP.17072/SP.200081  Reg.103-808-10406</t>
  </si>
  <si>
    <t>Defensoría Habitantes, SPMPO N°068, MERLINK Serv.Monitoreo Alarma y Resp.Armada Ofics.Regs. PZ, Ptnas, Limón y Liberia MAY-17  OP.17029/SP.200012 ¢94,742.34 y OP.17072/SP.200081 ¢36,885.38  Reg.103-808-10406</t>
  </si>
  <si>
    <t>Defensoría Habitantes, SPMPO N°068, MERLINK Serv.Monitoreo Alarma y Resp.Armada Ofic.Reg. SanCarlos MAY-17  OP.17072/SP.200081  Reg.103-808-10406</t>
  </si>
  <si>
    <t>EBISTIC S A</t>
  </si>
  <si>
    <t>Defensoría Habitantes, SPMPO N°068, MERLINK 150-DispositivoAlmacenamientoUSB (LlaveMayaTipoTarjeta dePresentación) 2GB, ImpresiónFull Color  Contrato043025/SP.200088   Reg.103-808-29901 ¢455,54.93 (2%Ret.¢9,110.89) ($789 x ¢577.37)</t>
  </si>
  <si>
    <t>Defensoría Habitantes, SPMPO Nº068, Serv.Correspondencia y Fax MAY-17  Fact.Gob.365-17  OP.17062/SP.200076  Reg.103-808-10203 ¢607,480 (2%Ret.¢12,149.60)</t>
  </si>
  <si>
    <t>Defensoría Habitantes, SPMPO N°068, Alquiler Local Ofic.Reg.Limón MAy-17  Fact.Gob.377-17  OP.17051/SP.200073  Reg.103-808-10101 ¢700,000 (2%Ret.¢14,000)</t>
  </si>
  <si>
    <t>UNION DE TRABAJADORES AGROINDUSTRIALES DEL CANTON</t>
  </si>
  <si>
    <t>Defensoría Habitantes, SPMPO N°068, Alquiler Local Ofic.Reg.P.Z. ABR-17  Fact.Gob.378-17   OP.17009/SP.200003 ¢57,141 y OP.17056/SP.200073 ¢423,812  Reg.103-808-10101 ¢480,953 (2%Ret.¢9,619.05)</t>
  </si>
  <si>
    <t>Defensoría Habitantes, SPMPO N°068, Alquiler Local Ofic.Reg.P.Z. MAY-17  Fact.Gob.379-17   OP.17056/SP.200073  Reg.103-808-10101 ¢480,953 (2%Ret.¢9,619.05)</t>
  </si>
  <si>
    <t>Defensoría Habitantes, SPMPO N°068, Serv.Telemáticos MAY-17  Fact.Gob.387-17  OP.17063/SP.200077  Reg.103-808-10204 ¢194,340.20 (2%Ret.¢3,886.80)</t>
  </si>
  <si>
    <t>Defensoría Habitantes, SPMPO N°068, Compra.Combustible Gasolina y Diesel p/Abastecimiento Vehículos y Planta Eléctrica  OP.17088/SP.200133   Reg.103-808-20101</t>
  </si>
  <si>
    <t>Defensoría Habitantes, SPMPO N°068, Serv.Tels MAY-17  Fact.Gob.390-17  OP.17047/SP.200062  Reg.103-808-10204 ¢2,743,483 (2%Ret.¢54,869.65)</t>
  </si>
  <si>
    <t>Defensoría Habitantes, SPMPO N°068, Serv.Tels MAY-17  Fact.Gob.391-17  OP.17047/SP.200062  Reg.103-808-10204 ¢344,935 (2%Ret.¢6,898.70)</t>
  </si>
  <si>
    <t>Defensoría Habitantes, SPMPO N°068, Serv.Tels MAY-17  Fact.Gob.392-17  OP.17047/SP.200062  Reg.103-808-10204 ¢190,440 (2%Ret.¢3,808.80)</t>
  </si>
  <si>
    <t>Defensoría Habitantes, SPMPO N°068, VIÁTICOS Pago Gira San José 11,12/06/17  Res.100067  Reg.103-808-10502</t>
  </si>
  <si>
    <t>SPMPO-069-2017 CTA #TRANF.CTES</t>
  </si>
  <si>
    <t>Defensoría Habitantes, SPMPO N°069, MERLINK Mant.Prev.Veh.DH-36  Contrato043003/SP.200024  Reg.103-808-10805</t>
  </si>
  <si>
    <t>Defensoría Habitantes, SPMPO N°069, MERLINK Mant.Prev.Veh.Placa821892  Contrato043003/SP.200024  Reg.103-808-10805</t>
  </si>
  <si>
    <t>Defensoría Habitantes, SPMPO N°069, MERLINK Mant.Prev.Veh.DH-23  Contrato043003/SP.200024  Reg.103-808-10805</t>
  </si>
  <si>
    <t>DECORACIONES INTEGRALES DEKOR SOCIEDAD ANONIMA</t>
  </si>
  <si>
    <t>Defensoría Habitantes, SPMPO N°069, MERLINK 4-Persianas Arrollables p/Aulas Capacitación  Contrato043044/SP.200099  Reg.103-808-29904</t>
  </si>
  <si>
    <t>Defensoría Habitantes, SPMPO N°069, MERLINK 6-Cj. 50Unid. Carpeta Colgante Cartulina Gapsa FV-15  Contrato043056/SP.200096  Reg.103-808-29903</t>
  </si>
  <si>
    <t>FARMACIA BAZZANO S A</t>
  </si>
  <si>
    <t>Defensoria Habitantes, SPMPO N°069, MERLINK MedicamentosVarios: Corisan, Decatileno, etc.  Contrato043027/SP.200055  Reg.103-808-20102</t>
  </si>
  <si>
    <t>MOLI DEL SUR S A</t>
  </si>
  <si>
    <t>Defensoría Habitantes, SPMPO N°069, MERLINK 35-Unid. Toalla Rollo Blanca Tork   Contrato043057/SP.200096  Reg.103-808-29903</t>
  </si>
  <si>
    <t>S.C. INTERNATIONAL PERFORMANCE S. A.</t>
  </si>
  <si>
    <t>Defensoría Habitantes, SPMPO N°069, MERLINK Batería Nickel Cadmium Recargable 72300 3.5V   Contrato043043/SP.200053  Reg.103-808-29999</t>
  </si>
  <si>
    <t>JUNTA ADMINISTRATIVA DE LA IMPRENTA NACIONAL</t>
  </si>
  <si>
    <t>Defensoría Habitantes, SPMPO N°069, Serv.Pub. La Gac. 76 de 24/04/17 Consejo Nal. de Migración  Fact.Gob.254-17  OP.17016/SP.200009  Reg.103-808-10301</t>
  </si>
  <si>
    <t>Defensoría Habitantes, SPMPO N°069, Alquiler Local Ofic.Reg.Limón JUN-17  Fact.Gob.385-17  OP.17051/SP.200073  Reg.103-808-10101 ¢700,000 (2%Ret.¢14,000)</t>
  </si>
  <si>
    <t>Defensoría Habitantes, SPMPO Nº069, Serv.Custodia y Adm.Documentos JUN-17  Fact.Gob.372-17  OP.17030/SP.200013 ¢132,176.95 y OP.17080/SP.200107 ¢278,579.64   Reg.103-808-10406 ¢410,756.59 (2%Ret.¢8,215.13)</t>
  </si>
  <si>
    <t>Defensoría Habitantes, SPMPO N°069, Alquiler Local Ofic.Reg.Ptnas 22/05/17-22/06/17  Fact.Gob.393-17  OP.17055/SP.200073  Reg.103-808-10101</t>
  </si>
  <si>
    <t>Defensoría Habitantes, SPMPO N°069, VIÁTICOS Pago Gira San José 31/05,01/06/17  Res.100067  Reg.103-808-10502</t>
  </si>
  <si>
    <t>Defensoría Habitantes, SPMPO N°069, VIÁTICOS Pago Gira Coto Brus 09/06/17  Res.100067  Reg.103-808-10502</t>
  </si>
  <si>
    <t>SPMPO-070-2017 CTA #TRANF.CTES</t>
  </si>
  <si>
    <t>Defensoría Habitantes, SPMPO Nº070, Reintegro Fdo.Trabajo-2017 DHR  Res.100065  Reg.103-808-10101</t>
  </si>
  <si>
    <t>Defensoría Habitantes, SPMPO Nº070, Reintegro Fdo.Trabajo-2017 DHR  Res.100013 ¢1,430 y Res.100078 ¢8,305  Reg.103-808-10203</t>
  </si>
  <si>
    <t>Defensoría Habitantes, SPMPO Nº070, Reintegro Fdo.Trabajo-2017 DHR  Res.100066 ¢5,100 y Res.100079 ¢2,685  Reg.103-808-10303</t>
  </si>
  <si>
    <t>Defensoría Habitantes, SPMPO Nº070, Reintegro Fdo.Trabajo-2017 DHR  Res.100015  Reg.103-808-10304</t>
  </si>
  <si>
    <t>Defensoría Habitantes, SPMPO Nº070, Reintegro Fdo.Trabajo-2017 DHR  Res.100055 ¢4,654.94 y Res.100080 ¢15,600.06  Reg.103-808-10406</t>
  </si>
  <si>
    <t>Defensoría Habitantes, SPMPO Nº070, Reintegro Fdo.Trabajo-2017 DHR  Res.100042  Reg.103-808-10499</t>
  </si>
  <si>
    <t>Defensoría Habitantes, SPMPO Nº070, Reintegro Fdo.Trabajo-2017 DHR  Res.100056  Reg.103-808-10501</t>
  </si>
  <si>
    <t>Defensoría Habitantes, SPMPO Nº070, Reintegro Fdo.Trabajo-2017 DHR  Res.100067  Reg.103-808-10502</t>
  </si>
  <si>
    <t>Defensoría Habitantes, SPMPO Nº070, Reintegro Fdo.Trabajo-2017 DHR  Res.100011  Reg.103-808-10504</t>
  </si>
  <si>
    <t>Defensoría Habitantes, SPMPO Nº070, Reintegro Fdo.Trabajo-2017 DHR  Res.100077  Reg.103-808-10701</t>
  </si>
  <si>
    <t>Defensoría Habitantes, SPMPO Nº070, Reintegro Fdo.Trabajo-2017 DHR  Res.100068  Reg.103-808-10805</t>
  </si>
  <si>
    <t>Defensoría Habitantes, SPMPO Nº070, Reintegro Fdo.Trabajo-2017 DHR  Res.100076  Reg.103-808-20101</t>
  </si>
  <si>
    <t>Defensoría Habitantes, SPMPO Nº070, Reintegro Fdo.Trabajo-2017 DHR  Res.100051 ¢16,739.99 y Res.100082 ¢4,210.01  Reg.103-808-20104</t>
  </si>
  <si>
    <t>Defensoría Habitantes, SPMPO Nº070, Reintegro Fdo.Trabajo-2017 DHR  Res.100059  Reg.103-808-20203</t>
  </si>
  <si>
    <t>Defensoría Habitantes, SPMPO Nº070, Reintegro Fdo.Trabajo-2017 DHR  Res.100060 ¢400.25 y Res.100084 ¢21,134.75  Reg.103-808-20301</t>
  </si>
  <si>
    <t>Defensoría Habitantes, SPMPO Nº070, Reintegro Fdo.Trabajo-2017 DHR  Res.100031 ¢3,800 y Res.100085 ¢3,300  Reg.103-808-20303</t>
  </si>
  <si>
    <t>Defensoría Habitantes, SPMPO Nº070, Reintegro Fdo.Trabajo-2017 DHR  Res.100061  Reg.103-808-20304</t>
  </si>
  <si>
    <t>Defensoría Habitantes, SPMPO Nº070, Reintegro Fdo.Trabajo-2017 DHR  Res.100062  Reg.103-808-20306</t>
  </si>
  <si>
    <t>Defensoría Habitantes, SPMPO Nº070, Reintegro Fdo.Trabajo-2017 DHR  Res.100070  Reg.103-808-20399</t>
  </si>
  <si>
    <t>Defensoría Habitantes, SPMPO Nº070, Reintegro Fdo.Trabajo-2017 DHR  Res.100034  Reg.103-808-20401</t>
  </si>
  <si>
    <t>Defensoría Habitantes, SPMPO Nº070, Reintegro Fdo.Trabajo-2017 DHR  Res.100045 ¢0.65 y Res.100071 ¢12,994.35  Reg.103-808-20402</t>
  </si>
  <si>
    <t>Defensoría Habitantes, SPMPO Nº070, Reintegro Fdo.Trabajo-2017 DHR  Res.100036 ¢8,649.66 y Res.100087 ¢8,735.34  Reg.103-808-29903</t>
  </si>
  <si>
    <t>Defensoría Habitantes, SPMPO Nº070, Reintegro Fdo.Trabajo-2017 DHR  Res.100072  Reg.103-808-29904</t>
  </si>
  <si>
    <t>Defensoría Habitantes, SPMPO Nº070, Reintegro Fdo.Trabajo-2017 DHR  Res.100037  Reg.103-808-29905</t>
  </si>
  <si>
    <t>Defensoría Habitantes, SPMPO Nº070, Reintegro Fdo.Trabajo-2017 DHR  Res.100073  Reg.103-808-29999</t>
  </si>
  <si>
    <t>Defensoría Habitantes, SPMPO Nº070, Reintegro Fdo.Trabajo-2017 DHR  Res.100011 ¢58,210.55 y Res.100088 ¢534,874.63  Reg.103-808-10504</t>
  </si>
  <si>
    <t>Defensoría Habitantes, SPMPO Nº070, Reintegro Fdo.Trabajo-2017 DHR  Res.100087 ¢21,264.66 y Res.100089 ¢40,235.34  Reg.103-808-29903</t>
  </si>
  <si>
    <t>MEI R L J LIBERIA SOCIEDAD ANONIMA</t>
  </si>
  <si>
    <t>CAROLINA RAMIREZ RAMIREZ</t>
  </si>
  <si>
    <t>WALTER MEZA DALL ANESE</t>
  </si>
  <si>
    <t>TOTAL INGRESOS RECIBIDOS AL 30 DE JUNIO DEL 2017</t>
  </si>
  <si>
    <t>CORPORACION MEXIN IMPERIO LIMITADA</t>
  </si>
  <si>
    <t>AL 30 DE JUNIO DEL 2017</t>
  </si>
  <si>
    <t>DECRETO H-006</t>
  </si>
  <si>
    <t xml:space="preserve">DETALLE DEL GASTO,  EJECUCION PRESUPUESTARIA </t>
  </si>
  <si>
    <t>DEFENSORIA DE LOS HABITANTES DE LA REPUBLICA</t>
  </si>
  <si>
    <t xml:space="preserve">GRUPO </t>
  </si>
  <si>
    <t xml:space="preserve">SUB PARTIDA DE GASTOS </t>
  </si>
  <si>
    <t>Gasto Objeto</t>
  </si>
  <si>
    <t>Solicitado</t>
  </si>
  <si>
    <t>Comprometido</t>
  </si>
  <si>
    <t>PAGADO</t>
  </si>
  <si>
    <t>Pagado</t>
  </si>
  <si>
    <t>Cuota</t>
  </si>
  <si>
    <t>Cuota Actual</t>
  </si>
  <si>
    <t>Disponible Acumulado</t>
  </si>
  <si>
    <t>% EJECUCIÓN</t>
  </si>
  <si>
    <t xml:space="preserve">REMUNERACION  </t>
  </si>
  <si>
    <t>Sueldos para cargos fijos</t>
  </si>
  <si>
    <t>Suplencias</t>
  </si>
  <si>
    <t xml:space="preserve"> </t>
  </si>
  <si>
    <t>Tiempo extraordinario</t>
  </si>
  <si>
    <t xml:space="preserve">Recargo de Funciones </t>
  </si>
  <si>
    <t>Retribución por años servidos</t>
  </si>
  <si>
    <t>Restricción al ejercicio laboral</t>
  </si>
  <si>
    <t>Décimo tercer mes</t>
  </si>
  <si>
    <t>Salario escolar</t>
  </si>
  <si>
    <t>Otros incentivos salariales</t>
  </si>
  <si>
    <t>Contrib. Patronal al seguro de salud</t>
  </si>
  <si>
    <t>Contrib. Patronal al banco popular</t>
  </si>
  <si>
    <t>Contrib part. al seguro de pensiones</t>
  </si>
  <si>
    <t>Aporte part. régimen oblig. de pens.</t>
  </si>
  <si>
    <t>Aporte patronal de fondo de cap.Lab.</t>
  </si>
  <si>
    <t>Contrib. Part. otros fondos Adm.</t>
  </si>
  <si>
    <t>TOTAL REMUNERACIONES</t>
  </si>
  <si>
    <t>SERVICIOS</t>
  </si>
  <si>
    <t>Alquileres de edificios y locales</t>
  </si>
  <si>
    <t xml:space="preserve">Alquileres y Derechos de Telecomunicaciones </t>
  </si>
  <si>
    <t>Otros alquileres</t>
  </si>
  <si>
    <t>Servicios de agua y alcantarillado</t>
  </si>
  <si>
    <t>Servicios de energía eléctrica</t>
  </si>
  <si>
    <t>Servicios de Correo</t>
  </si>
  <si>
    <t>Servicios de telecomunicaciones</t>
  </si>
  <si>
    <t>Otros servicios básicos</t>
  </si>
  <si>
    <t xml:space="preserve">Información (Publicaciones) </t>
  </si>
  <si>
    <t>Impresión y encuadernación</t>
  </si>
  <si>
    <t xml:space="preserve">Transporte de Bienes </t>
  </si>
  <si>
    <t xml:space="preserve">Comisiones por Servicios Bancarios </t>
  </si>
  <si>
    <t>Servicios de Transferencia Electronica de Información</t>
  </si>
  <si>
    <t>Servicios de Desarrollo de Sistemas Informáticos</t>
  </si>
  <si>
    <t>Servicios Generales (Miscelaneos y Seguridad)</t>
  </si>
  <si>
    <t>Otros servicios de gestión y apoyo</t>
  </si>
  <si>
    <t>Transporte dentro del país</t>
  </si>
  <si>
    <t>Viáticos dentro del país</t>
  </si>
  <si>
    <t xml:space="preserve">Transporte al Exterior </t>
  </si>
  <si>
    <t>Viaticos al Exterior</t>
  </si>
  <si>
    <t>Seguros</t>
  </si>
  <si>
    <t>Actividades de capacitación</t>
  </si>
  <si>
    <t>Actividades protocolarias y sociales</t>
  </si>
  <si>
    <t>Gastos de representación</t>
  </si>
  <si>
    <t>Mantenimiento de edificios y locales</t>
  </si>
  <si>
    <t>Mant. Y reparación de maquinaria.</t>
  </si>
  <si>
    <t>Mant. Y reparación de equipos de trans.</t>
  </si>
  <si>
    <t>Mant. Equipo de Comunicación</t>
  </si>
  <si>
    <t>Mant. Equipo y Mob de Oficina</t>
  </si>
  <si>
    <t>Mant. Y rep de equipo de computo</t>
  </si>
  <si>
    <t>Mant. Y Rep. De otros Equipos</t>
  </si>
  <si>
    <t>Otros Impuestos (Marchamos)</t>
  </si>
  <si>
    <t>Deducibles(Accidentes)</t>
  </si>
  <si>
    <t>TOTAL SERVICIOS</t>
  </si>
  <si>
    <t xml:space="preserve">MATERIALES Y SUMINISTROS </t>
  </si>
  <si>
    <t>Combustibles y lubricantes</t>
  </si>
  <si>
    <t>Productos farmacéuticos y medicinales</t>
  </si>
  <si>
    <t>Tintas, pinturas y diluyentes</t>
  </si>
  <si>
    <t>Otros Productos Quimicos y Conexos</t>
  </si>
  <si>
    <t>Productos Agroforestales</t>
  </si>
  <si>
    <t>Alimentos y bebidas</t>
  </si>
  <si>
    <t>Materiales y productos metálicos</t>
  </si>
  <si>
    <t>Mat. Y Prod. Minerales y Asfalticos</t>
  </si>
  <si>
    <t>Madera y sus Derivados</t>
  </si>
  <si>
    <t>Materiales productos electrónicos, telefonicos y computo</t>
  </si>
  <si>
    <t>Materiales y productos de vidrio</t>
  </si>
  <si>
    <t>Materiales y productos de plástico</t>
  </si>
  <si>
    <t>Otros Mat. y productos de uso en construc. y mantenim.</t>
  </si>
  <si>
    <t>Repuestos y accesorios</t>
  </si>
  <si>
    <t>Útiles, materiales de oficina y computo</t>
  </si>
  <si>
    <t>Útiles, materiales medico hospitalario</t>
  </si>
  <si>
    <t>Productos de papel, cartón e impresos</t>
  </si>
  <si>
    <t>Textiles y vestuario</t>
  </si>
  <si>
    <t>Útiles y materiales de limpieza</t>
  </si>
  <si>
    <t>Útiles y materiales de cocina y comedor</t>
  </si>
  <si>
    <t xml:space="preserve">Otros Utiles y Materiales </t>
  </si>
  <si>
    <t>TOTAL MATERIALES Y SUMINISTROS</t>
  </si>
  <si>
    <t>Equipo de Transporte</t>
  </si>
  <si>
    <t>Equipo de Comunicación</t>
  </si>
  <si>
    <t xml:space="preserve">BIENES DURADEROS </t>
  </si>
  <si>
    <t>Equipo Mobiliario de Oficina</t>
  </si>
  <si>
    <t>Equipo y programas de computo</t>
  </si>
  <si>
    <t>Equipo sanitario, de laboratorio e investigación</t>
  </si>
  <si>
    <t>Bienes Intangibles (Licencias)</t>
  </si>
  <si>
    <t>TOTAL BIENES DURADEROS</t>
  </si>
  <si>
    <t xml:space="preserve">TRANSFERENCIAS </t>
  </si>
  <si>
    <t>Transferencias Corrientes a C.C.S.S (Seguro Pensiones)</t>
  </si>
  <si>
    <t>Transferencias Corrientes a C.C.S.S (Seguro Salud)</t>
  </si>
  <si>
    <t>Transferencias Corrientes a U.C.R</t>
  </si>
  <si>
    <t>Transferencias Corrientes a CONARE</t>
  </si>
  <si>
    <t>Becas a terceras personas</t>
  </si>
  <si>
    <t xml:space="preserve">Prestaciones Legales </t>
  </si>
  <si>
    <t>Otras prestaciones a personas (Incapacidades)</t>
  </si>
  <si>
    <t>Indemnizaciones</t>
  </si>
  <si>
    <t>TOTAL TRANSFERENCIAS</t>
  </si>
  <si>
    <t>EJECUCIÓN GLOBAL</t>
  </si>
  <si>
    <t xml:space="preserve">  </t>
  </si>
  <si>
    <t>Herramientas e instrumentos</t>
  </si>
  <si>
    <t>Equipo diverso</t>
  </si>
  <si>
    <t>Publicidad y Propaganda</t>
  </si>
  <si>
    <t>Utiles y Materiales de Resguardo y Seguridad</t>
  </si>
  <si>
    <t>PRESUPUESTO ACTUAL</t>
  </si>
  <si>
    <t>Multas</t>
  </si>
  <si>
    <t>Servicios de Ingenieria</t>
  </si>
  <si>
    <t>TRANSF. CORRIENTES A ORG. INT.</t>
  </si>
  <si>
    <t>PRESUPUESTO REAL</t>
  </si>
  <si>
    <t>Edificios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</si>
  <si>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</si>
  <si>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</si>
  <si>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</si>
  <si>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</si>
  <si>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</si>
  <si>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</si>
  <si>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</si>
  <si>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</si>
  <si>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</si>
  <si>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</si>
  <si>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</si>
  <si>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</si>
  <si>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00</t>
  </si>
  <si>
    <t>REMUNERACIONES</t>
  </si>
  <si>
    <t>001</t>
  </si>
  <si>
    <t xml:space="preserve">REMUNERACIONES BASICAS </t>
  </si>
  <si>
    <t>SUELDOS PARA CARGOS FIJOS</t>
  </si>
  <si>
    <t>SERVICIOS ESPECIALES</t>
  </si>
  <si>
    <t>SUPLENCIAS</t>
  </si>
  <si>
    <t>002</t>
  </si>
  <si>
    <t>REMUNERACIONES EVENTUALES</t>
  </si>
  <si>
    <t>TIEMPO EXTRAORDINARIO</t>
  </si>
  <si>
    <t>RECARGO DE FUNCIONES</t>
  </si>
  <si>
    <t>DISPONIBILIDAD LABORAL</t>
  </si>
  <si>
    <t>003</t>
  </si>
  <si>
    <t>INCENTIVOS SALARIALES</t>
  </si>
  <si>
    <t>RETRIBUCION POR AÑOS SERVIDOS</t>
  </si>
  <si>
    <t>RESTRICCION AL EJERCICIO LIBERAL  DE L A PROFESION</t>
  </si>
  <si>
    <t>DECIMO TERCER MES</t>
  </si>
  <si>
    <t>SALARIO ESCOLAR</t>
  </si>
  <si>
    <t>OTROS INCENTIVOS SALARIALES</t>
  </si>
  <si>
    <t>004</t>
  </si>
  <si>
    <t>CONTRIBUCIONES PATRONALES AL DESARROLLO Y LA SEGURIDAD SOCIAL</t>
  </si>
  <si>
    <t>CONTRIBUCION PATRONAL AL SEGURO DE SALUD DE LA C.C.S.S. 9.25%</t>
  </si>
  <si>
    <t>CONTRIBUCION PATRONAL AL INST. MIXTO DE AYUDA SOCIAL</t>
  </si>
  <si>
    <t>CONTRIBUCION PATRONAL AL BANCO POPULAR Y DE DESARROLLO COMUNAL .05%</t>
  </si>
  <si>
    <t>005</t>
  </si>
  <si>
    <t>CONTRIBUCION PATRON. FOND. DE PENSIONES Y OTROS FONDOS DE CAPITAL</t>
  </si>
  <si>
    <t>APORTE PATR. REGIMEN OBLIG. DE PENSIONES COMPLEMENTARIAS 1.5%</t>
  </si>
  <si>
    <t>APORTE PATRONAL DE FONDO DE CAPITALIZACION LABORAL 3%</t>
  </si>
  <si>
    <t>099</t>
  </si>
  <si>
    <t>REMUNERACIONES DIVERSAS</t>
  </si>
  <si>
    <t>GASTOS DE REPRESENTACION PERSONAL</t>
  </si>
  <si>
    <t>01</t>
  </si>
  <si>
    <t xml:space="preserve">SERVICIOS                </t>
  </si>
  <si>
    <t>ALQUILERES</t>
  </si>
  <si>
    <t>ALQUILERES DE EDIFICIOS, LOCALES, Y TERRENOS</t>
  </si>
  <si>
    <t>ALQUILERES DE MAQUINARIA, EQUIPO Y MOBILIARIO</t>
  </si>
  <si>
    <t>ALQUILER DE EQUIPO DE COMPUTO</t>
  </si>
  <si>
    <t>ALQUILER Y DERECHOS PARA TELECOMUNICACIONES</t>
  </si>
  <si>
    <t>OTROS ALQUILERES</t>
  </si>
  <si>
    <t>SERVICIOS BASICOS</t>
  </si>
  <si>
    <t>SERVICIO DE AGUA Y ALCANTARILLADO</t>
  </si>
  <si>
    <t>SERVICIO DE ENERGIA ELECTRICA</t>
  </si>
  <si>
    <t>SERVICIO DE CORREO</t>
  </si>
  <si>
    <t>SERVICIO DE TELECOMUNICACIONES</t>
  </si>
  <si>
    <t>OTROS SERVICIOS BASICOS</t>
  </si>
  <si>
    <t>SERVICIOS COMERCIALES Y FINANCIEROS</t>
  </si>
  <si>
    <t>INFORMACION</t>
  </si>
  <si>
    <t>PUBLICIDAD Y PROPAGANDA</t>
  </si>
  <si>
    <t>IMPRESIÓN, ENCUADERNACION, Y OTROS</t>
  </si>
  <si>
    <t>TRANSPORTE DE BIENES</t>
  </si>
  <si>
    <t>COMISIONES Y GASTOS POR SERVICIOS</t>
  </si>
  <si>
    <t>SERVICIO DE TRANSFERENCIA ELECTRONICA DE INFORMACION</t>
  </si>
  <si>
    <t>SERVICIO DE GESTION Y APOYO</t>
  </si>
  <si>
    <t>SERVICIOS MEDICOS Y DE LABORATORIO</t>
  </si>
  <si>
    <t>SERVICIOS JURIDICOS</t>
  </si>
  <si>
    <t>SERVICIOS DE INGENIERIA</t>
  </si>
  <si>
    <t>SERVICIOS EN CIENCIAS ECONOMICAS Y SOCIALES</t>
  </si>
  <si>
    <t>SERVICIOS DE DESARROLLO DE SISTEMAS INFORMATICOS</t>
  </si>
  <si>
    <t>SERVICIOS GENERALES</t>
  </si>
  <si>
    <t>OTROS SERVICIOS DE GESTION Y APOYO</t>
  </si>
  <si>
    <t>GASTO DE VIAJE Y DE TRANSPORTE</t>
  </si>
  <si>
    <t>TRANSPORTE DENTRO DEL PAIS</t>
  </si>
  <si>
    <t>VIATICOS DENTRO DEL PAIS</t>
  </si>
  <si>
    <t>TRANSPORTE EN EL EXTERIOR</t>
  </si>
  <si>
    <t>VIATICOS EN EL EXTERIOR</t>
  </si>
  <si>
    <t>SEGUROS, REASEGUROS Y OTRAS OBLIGACIONES</t>
  </si>
  <si>
    <t>SEGUROS</t>
  </si>
  <si>
    <t>CAPACITACION Y PROTOCOLO</t>
  </si>
  <si>
    <t>ACTIVIDADES DE CAPACITACION</t>
  </si>
  <si>
    <t>ACTIVIDADES PROTOCOLARIAS Y SOCIALES</t>
  </si>
  <si>
    <t>GASTOS DE REPRESENTACION INST.</t>
  </si>
  <si>
    <t>MANTENIMIENTO Y REPARACION</t>
  </si>
  <si>
    <t>MANTENIMIENTO DE EDIFICIOS Y LOCALES</t>
  </si>
  <si>
    <t>MANTENIMIENTO Y REPARACION DE MAQUINARIA Y EQUIPO DE PRODUCCION</t>
  </si>
  <si>
    <t>MANTENIMIENTO Y REPARACION DE EQUIPO DE TRANSPORTE</t>
  </si>
  <si>
    <t xml:space="preserve">MANTENIMIENTO Y REPARACION DE EQUIPO DE COMUNIICACION </t>
  </si>
  <si>
    <t>MANTENIMIENTO Y REPARACION DE EQUIPO Y MOBILIARIO DE OFICINA</t>
  </si>
  <si>
    <t>MANT. Y REP. DE EQUIPO DE COMPUTO Y SISTEMAS DE INFORMATICA</t>
  </si>
  <si>
    <t>MANTENIMIENTO Y REPARACION DE OTROS EQUIPOS</t>
  </si>
  <si>
    <t>IMPUESTOS</t>
  </si>
  <si>
    <t>OTROS IMPUESTOS</t>
  </si>
  <si>
    <t>SERVICIOS DIVERSOS</t>
  </si>
  <si>
    <t>DEDUCIBLES</t>
  </si>
  <si>
    <t>INTERESES MORATORIOS Y MULTAS</t>
  </si>
  <si>
    <t>OTROS SERVICIOS NO ESPECIFICADOS</t>
  </si>
  <si>
    <t>02</t>
  </si>
  <si>
    <t>MATERIALES Y SUMINISTROS</t>
  </si>
  <si>
    <t>PRODUCTOS QUIMICOS Y CONEXOS</t>
  </si>
  <si>
    <t>COMBUSTIBLES Y LUBRICANTES</t>
  </si>
  <si>
    <t>PRODUCTOS FARMACEUTICOS Y MEDICINALES</t>
  </si>
  <si>
    <t>TINTAS, PINTURAS Y DILUYENTES</t>
  </si>
  <si>
    <t>OTROS PRODUCTOS QUIMICOS</t>
  </si>
  <si>
    <t>ALIMENTOS Y PRODUCTOS AGROPECUARIOS</t>
  </si>
  <si>
    <t>PRODUCTOS PECUARIOS Y OTRAS ESPECIES</t>
  </si>
  <si>
    <t>PRODUCTOS AGROFORESTALES</t>
  </si>
  <si>
    <t>ALIMENTOS Y BEBIDAS</t>
  </si>
  <si>
    <t>MAT. Y PROD. DE USO EN LA CONSTRUCCION Y MANTENIMIENTO</t>
  </si>
  <si>
    <t>MATERIALES Y PRODUCTOS METALICOS</t>
  </si>
  <si>
    <t>MATRIALES Y PRODUCTOS MINERALES Y ASFALTICOS</t>
  </si>
  <si>
    <t>MADERA Y SUS DERIVADOS</t>
  </si>
  <si>
    <t>MATERIALES Y PRODUCTOS ELECTRICOS, TELEFONICOS DE COMPUTO</t>
  </si>
  <si>
    <t>MATERIALES Y PRODUCTOS DE VIDRIO</t>
  </si>
  <si>
    <t>MATERIALES Y PRODUCTOS DE PLASTICO</t>
  </si>
  <si>
    <t>OTROS MATERIALES Y PRODUCTOS DE USO EN CONSTRUCCION</t>
  </si>
  <si>
    <t>HERRAMIENTAS, REPUESTOS Y ACCESORIOS</t>
  </si>
  <si>
    <t>HERRAMIENTAS E INSTRUMENTOS</t>
  </si>
  <si>
    <t>REPUESTOS Y ACCESORIOS</t>
  </si>
  <si>
    <t>UTILES, MATERIALES Y SUMINISTROS DIVERSOS</t>
  </si>
  <si>
    <t>UTILES, MATERIALES DE OFICINA Y COMPUTO</t>
  </si>
  <si>
    <t>UTILES, MATERIALES MEDICO, HOSPITALARIO Y DE INVENTARIO</t>
  </si>
  <si>
    <t>PRODUCTOS DE PAPEL, CARTON E IMPRESOS</t>
  </si>
  <si>
    <t>TEXTILES Y VESTUARIO</t>
  </si>
  <si>
    <t>UTILES Y MATERIALES DE LIMPIEZA</t>
  </si>
  <si>
    <t>UTILES Y MATERIALES DE RESGUARDO Y SEGURIDAD</t>
  </si>
  <si>
    <t>UTILES Y MATERIALES DE COCINA Y COMEDOR</t>
  </si>
  <si>
    <t>OTROS UTILES, MATERIALES Y SUMINISTROS</t>
  </si>
  <si>
    <t>05</t>
  </si>
  <si>
    <t>BIENES DURADEROS</t>
  </si>
  <si>
    <t>MAQUINARIA, EQUIPO Y MOBILIARIO</t>
  </si>
  <si>
    <t>EQUIPO E TRANSPORTE</t>
  </si>
  <si>
    <t>EQUIPO DE COMUNICACIÓN</t>
  </si>
  <si>
    <t>EQUIPO Y MOBILIARIO DE OFICINA</t>
  </si>
  <si>
    <t>EQUIPOS Y PROGRAMAS DE COMPUTO</t>
  </si>
  <si>
    <t>EQUIPO SANITARIO, DE  LABATORIO E INVESTIG.</t>
  </si>
  <si>
    <t>EQUIPO Y MOBILIARIO EDUCACIONAL, DEP. Y RECREATIVO</t>
  </si>
  <si>
    <t>MAQUINARIA Y EQUIPO DIVERSO</t>
  </si>
  <si>
    <t>CONSTRUCCIONES, ADICIONES Y MEJORAS</t>
  </si>
  <si>
    <t>EDIFICIOS</t>
  </si>
  <si>
    <t xml:space="preserve">INSTALACIONES </t>
  </si>
  <si>
    <t>OTRAS CONSTRUCCIONES, ADICIONES Y MEJORAS</t>
  </si>
  <si>
    <t>BIENES DURADEROS DIVERSOS</t>
  </si>
  <si>
    <t>BIENES INTANGIBLES</t>
  </si>
  <si>
    <t>OTROS BIENES DURADEROS</t>
  </si>
  <si>
    <t>06</t>
  </si>
  <si>
    <t>TRANSFERENCIAS CORRIENTES</t>
  </si>
  <si>
    <t>TRANSFERENCIAS CORRIENTES AL SECTOR PUBLICO</t>
  </si>
  <si>
    <t>TRANSFERENCIAS CORRIENTES A INS. DESCEN</t>
  </si>
  <si>
    <t>TRANSFERENCIAS CORRIENTES A PERSONAS</t>
  </si>
  <si>
    <t>BECAS A FUNCIONARIOS</t>
  </si>
  <si>
    <t>BECAS A TERCERAS PERSONAS</t>
  </si>
  <si>
    <t>OTRAS TRANSFERENCIAS A PERSONAS</t>
  </si>
  <si>
    <t>PRESTACIONES</t>
  </si>
  <si>
    <t>PRESTACIONE LEGALES</t>
  </si>
  <si>
    <t>OTRAS PRESTACIONES A TERCERAS PERSONAS</t>
  </si>
  <si>
    <t>TRANSF.CORR. A ENTIDADES PRIV. SIN FINES DE LUCRO</t>
  </si>
  <si>
    <t>TRANSFERENCIAS CORRIENTES A FUNDACIONES</t>
  </si>
  <si>
    <t>OTRAS TRANSFERENCIAS CORRIENTES AL SECTOR PRIVADO</t>
  </si>
  <si>
    <t>INDEMNIZACIONES</t>
  </si>
  <si>
    <t>CONTRIB. PATR. AL SEGURO DE PENSIONES DE LA C.C.S.S. 5.08%</t>
  </si>
  <si>
    <t>CONTRIB. PATR. OTROS FDOS ADMINIST. POR ENTES PRIVADOS  ASOFUNDE 5%</t>
  </si>
  <si>
    <t>TRANSFERENCIAS CORRIENTES AL SECTOR EXTERNO</t>
  </si>
  <si>
    <t>TRANSF. CTES A ORGANISMOS INTERNACIONALES</t>
  </si>
  <si>
    <t>TOTAL PRESUPUESTO ORDINARIO  2017</t>
  </si>
  <si>
    <t>CARGOS POR MES PROGRAMA 808 DEFENSORIA DE LOS HABITANTES-2017</t>
  </si>
  <si>
    <t>Servicios Médicos y de Laboratorio</t>
  </si>
  <si>
    <t>INSTALACIONES</t>
  </si>
  <si>
    <t>DECRETO H-003</t>
  </si>
  <si>
    <t>Servcios en Ciencias Económicas y Sociales</t>
  </si>
  <si>
    <t xml:space="preserve"> -     </t>
  </si>
  <si>
    <t>DECRETO H-005</t>
  </si>
  <si>
    <t>DEFENSORIA DE LOS HABITANTES</t>
  </si>
  <si>
    <t>Presupuesto Ordinario</t>
  </si>
  <si>
    <t>PRESUPUESTO ORDINARIO</t>
  </si>
  <si>
    <t xml:space="preserve">JUANITA LEE CERDAS </t>
  </si>
  <si>
    <t xml:space="preserve">Marvin Fernández Ramírez </t>
  </si>
  <si>
    <t>KAREN ROMÁN GUERRERO</t>
  </si>
  <si>
    <t xml:space="preserve">Julio Hernández Ramírez </t>
  </si>
  <si>
    <t>VIVIAN MEDINA JIMENEZ</t>
  </si>
  <si>
    <t>VICTOR ROJAS GONZALEZ</t>
  </si>
  <si>
    <t>ASOCIACION SOLIDARISTA DE FUNCIONARIOS Y FUNCIONAR</t>
  </si>
  <si>
    <t>CAJA COSTARRICENSE DEL SEGURO SOCIAL</t>
  </si>
  <si>
    <t>CUATRO EN LINEA AUTOMOTRIZ S. A.</t>
  </si>
  <si>
    <t>SERVIREPUESTOS JEZRREL S. A.</t>
  </si>
  <si>
    <t>CAROLINA CARAZO MOHS</t>
  </si>
  <si>
    <t>INSTITUTO COSTARRICENSE DE ACUEDUCTOS Y ALCANTARIL</t>
  </si>
  <si>
    <t>CALLMYWAY N Y SOCIEDAD ANONIMA</t>
  </si>
  <si>
    <t>CONTROLES VIDEO TECNICOS DE COSTA RICA S A</t>
  </si>
  <si>
    <t>CORREOS DE COSTA RICA S A</t>
  </si>
  <si>
    <t>MARVIN GERARDO ALPIZAR BLANCO</t>
  </si>
  <si>
    <t>GRUPO EMPRESARIAL OROSOL S. A.</t>
  </si>
  <si>
    <t>MUNICIPALIDAD DE SAN CARLOS</t>
  </si>
  <si>
    <t>SOAGUI S A</t>
  </si>
  <si>
    <t>COOPERATIVA DE ELECTRIFICACION RURAL DE SAN CARLOS</t>
  </si>
  <si>
    <t>INSTITUTO COSTARRICENSE DE ELECTRICIDAD</t>
  </si>
  <si>
    <t>ALINA MARIA PANIAGUA ROJAS</t>
  </si>
  <si>
    <t>ELIETH MARIA ARAYA AGUILAR</t>
  </si>
  <si>
    <t>LUIS GUILLERMO QUESADA GARCIA</t>
  </si>
  <si>
    <t xml:space="preserve">KAREN ROMÁN GUERRERO </t>
  </si>
  <si>
    <t xml:space="preserve">Ana Karina ZeledónLépiz </t>
  </si>
  <si>
    <t>BERNY UMAÑA RIVERA</t>
  </si>
  <si>
    <t>NAZARETH MARIA CORREA RODRIGUEZ</t>
  </si>
  <si>
    <t>Marvin Fernández Ramírez</t>
  </si>
  <si>
    <t>RPOST S. A.</t>
  </si>
  <si>
    <t>NAVEGACION SATELITAL DE COSTA RICA S. A.</t>
  </si>
  <si>
    <t>RADIOGRAFICA COSTARRICENSE S A</t>
  </si>
  <si>
    <t>ROBERTO DE PRADO LIZANO</t>
  </si>
  <si>
    <t>BERNY UMA\A RIVERA</t>
  </si>
  <si>
    <t>SOLUCIONES EN REPUESTOS S. A.</t>
  </si>
  <si>
    <t>ERICK ALFARO ZU\IGA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</si>
</sst>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\ h:mm;@"/>
    <numFmt numFmtId="165" formatCode="_-* #,##0.00_-;\-* #,##0.00_-;_-* &quot;-&quot;??_-;_-@_-"/>
    <numFmt numFmtId="166" formatCode="0.00000"/>
  </numFmts>
  <fonts count="3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i/>
      <sz val="20"/>
      <color indexed="8"/>
      <name val="Calibri"/>
      <family val="2"/>
    </font>
    <font>
      <sz val="8"/>
      <name val="Calibri"/>
      <family val="2"/>
    </font>
    <font>
      <b/>
      <sz val="18"/>
      <color indexed="8"/>
      <name val="Calibri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i/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u val="single"/>
      <sz val="9"/>
      <name val="Arial"/>
      <family val="2"/>
    </font>
    <font>
      <b/>
      <i/>
      <u val="single"/>
      <sz val="8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3" fillId="10" borderId="1" applyNumberFormat="0" applyAlignment="0" applyProtection="0"/>
    <xf numFmtId="0" fontId="3" fillId="19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7" fillId="10" borderId="1" applyNumberFormat="0" applyAlignment="0" applyProtection="0"/>
    <xf numFmtId="0" fontId="7" fillId="13" borderId="1" applyNumberFormat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7" borderId="4" applyNumberFormat="0" applyFont="0" applyAlignment="0" applyProtection="0"/>
    <xf numFmtId="0" fontId="0" fillId="7" borderId="4" applyNumberFormat="0" applyFont="0" applyAlignment="0" applyProtection="0"/>
    <xf numFmtId="9" fontId="0" fillId="0" borderId="0" applyFont="0" applyFill="0" applyBorder="0" applyAlignment="0" applyProtection="0"/>
    <xf numFmtId="0" fontId="10" fillId="10" borderId="5" applyNumberFormat="0" applyAlignment="0" applyProtection="0"/>
    <xf numFmtId="0" fontId="10" fillId="19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6" fillId="0" borderId="7" applyNumberFormat="0" applyFill="0" applyAlignment="0" applyProtection="0"/>
    <xf numFmtId="0" fontId="15" fillId="0" borderId="8" applyNumberFormat="0" applyFill="0" applyAlignment="0" applyProtection="0"/>
    <xf numFmtId="0" fontId="37" fillId="0" borderId="8" applyNumberFormat="0" applyFill="0" applyAlignment="0" applyProtection="0"/>
    <xf numFmtId="0" fontId="6" fillId="0" borderId="9" applyNumberFormat="0" applyFill="0" applyAlignment="0" applyProtection="0"/>
    <xf numFmtId="0" fontId="35" fillId="0" borderId="10" applyNumberFormat="0" applyFill="0" applyAlignment="0" applyProtection="0"/>
    <xf numFmtId="0" fontId="38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6" fillId="0" borderId="12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43" fontId="0" fillId="0" borderId="13" xfId="77" applyFont="1" applyBorder="1" applyAlignment="1">
      <alignment/>
    </xf>
    <xf numFmtId="0" fontId="16" fillId="0" borderId="0" xfId="0" applyFont="1" applyAlignment="1">
      <alignment horizontal="justify" vertical="justify"/>
    </xf>
    <xf numFmtId="0" fontId="16" fillId="19" borderId="13" xfId="0" applyFont="1" applyFill="1" applyBorder="1" applyAlignment="1">
      <alignment horizontal="justify" vertical="justify"/>
    </xf>
    <xf numFmtId="0" fontId="16" fillId="19" borderId="13" xfId="0" applyFont="1" applyFill="1" applyBorder="1" applyAlignment="1">
      <alignment horizontal="justify" vertical="center"/>
    </xf>
    <xf numFmtId="0" fontId="0" fillId="0" borderId="13" xfId="0" applyBorder="1" applyAlignment="1">
      <alignment horizontal="center"/>
    </xf>
    <xf numFmtId="0" fontId="16" fillId="20" borderId="13" xfId="0" applyFont="1" applyFill="1" applyBorder="1" applyAlignment="1">
      <alignment horizontal="center" vertical="center"/>
    </xf>
    <xf numFmtId="0" fontId="16" fillId="20" borderId="13" xfId="0" applyFont="1" applyFill="1" applyBorder="1" applyAlignment="1">
      <alignment horizontal="center" vertical="justify"/>
    </xf>
    <xf numFmtId="0" fontId="17" fillId="20" borderId="14" xfId="0" applyFont="1" applyFill="1" applyBorder="1" applyAlignment="1">
      <alignment horizontal="justify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justify" vertical="justify"/>
    </xf>
    <xf numFmtId="0" fontId="17" fillId="20" borderId="15" xfId="0" applyFont="1" applyFill="1" applyBorder="1" applyAlignment="1">
      <alignment horizontal="justify" vertical="justify"/>
    </xf>
    <xf numFmtId="43" fontId="0" fillId="0" borderId="0" xfId="0" applyNumberFormat="1" applyAlignment="1">
      <alignment/>
    </xf>
    <xf numFmtId="0" fontId="16" fillId="15" borderId="13" xfId="0" applyFont="1" applyFill="1" applyBorder="1" applyAlignment="1">
      <alignment horizontal="justify" vertical="justify"/>
    </xf>
    <xf numFmtId="0" fontId="0" fillId="15" borderId="13" xfId="0" applyFill="1" applyBorder="1" applyAlignment="1">
      <alignment horizontal="center"/>
    </xf>
    <xf numFmtId="0" fontId="16" fillId="12" borderId="13" xfId="0" applyFont="1" applyFill="1" applyBorder="1" applyAlignment="1">
      <alignment horizontal="justify" vertical="justify"/>
    </xf>
    <xf numFmtId="0" fontId="0" fillId="12" borderId="13" xfId="0" applyFill="1" applyBorder="1" applyAlignment="1">
      <alignment horizontal="center"/>
    </xf>
    <xf numFmtId="0" fontId="16" fillId="17" borderId="13" xfId="0" applyFont="1" applyFill="1" applyBorder="1" applyAlignment="1">
      <alignment horizontal="justify" vertical="justify"/>
    </xf>
    <xf numFmtId="0" fontId="0" fillId="17" borderId="13" xfId="0" applyFill="1" applyBorder="1" applyAlignment="1">
      <alignment horizontal="center"/>
    </xf>
    <xf numFmtId="0" fontId="0" fillId="23" borderId="13" xfId="0" applyFill="1" applyBorder="1" applyAlignment="1">
      <alignment horizontal="center"/>
    </xf>
    <xf numFmtId="0" fontId="16" fillId="16" borderId="13" xfId="0" applyFont="1" applyFill="1" applyBorder="1" applyAlignment="1">
      <alignment horizontal="justify" vertical="center"/>
    </xf>
    <xf numFmtId="0" fontId="0" fillId="16" borderId="13" xfId="0" applyFill="1" applyBorder="1" applyAlignment="1">
      <alignment horizontal="center"/>
    </xf>
    <xf numFmtId="0" fontId="16" fillId="23" borderId="13" xfId="0" applyFont="1" applyFill="1" applyBorder="1" applyAlignment="1">
      <alignment horizontal="justify" vertical="justify"/>
    </xf>
    <xf numFmtId="43" fontId="18" fillId="23" borderId="16" xfId="0" applyNumberFormat="1" applyFont="1" applyFill="1" applyBorder="1" applyAlignment="1">
      <alignment/>
    </xf>
    <xf numFmtId="0" fontId="16" fillId="0" borderId="0" xfId="0" applyFont="1" applyAlignment="1">
      <alignment horizontal="center" vertical="justify"/>
    </xf>
    <xf numFmtId="43" fontId="0" fillId="0" borderId="14" xfId="77" applyFont="1" applyFill="1" applyBorder="1" applyAlignment="1">
      <alignment/>
    </xf>
    <xf numFmtId="0" fontId="19" fillId="0" borderId="0" xfId="0" applyFont="1" applyAlignment="1">
      <alignment/>
    </xf>
    <xf numFmtId="0" fontId="17" fillId="20" borderId="17" xfId="0" applyFont="1" applyFill="1" applyBorder="1" applyAlignment="1">
      <alignment horizontal="justify" vertical="justify"/>
    </xf>
    <xf numFmtId="0" fontId="16" fillId="0" borderId="0" xfId="0" applyFont="1" applyAlignment="1">
      <alignment horizontal="centerContinuous"/>
    </xf>
    <xf numFmtId="0" fontId="17" fillId="20" borderId="17" xfId="0" applyFont="1" applyFill="1" applyBorder="1" applyAlignment="1">
      <alignment horizontal="justify" vertical="center"/>
    </xf>
    <xf numFmtId="0" fontId="17" fillId="20" borderId="15" xfId="0" applyFont="1" applyFill="1" applyBorder="1" applyAlignment="1">
      <alignment horizontal="justify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43" fontId="21" fillId="0" borderId="0" xfId="0" applyNumberFormat="1" applyFont="1" applyAlignment="1">
      <alignment/>
    </xf>
    <xf numFmtId="43" fontId="0" fillId="0" borderId="0" xfId="77" applyFont="1" applyAlignment="1">
      <alignment/>
    </xf>
    <xf numFmtId="43" fontId="18" fillId="12" borderId="13" xfId="77" applyFont="1" applyFill="1" applyBorder="1" applyAlignment="1">
      <alignment/>
    </xf>
    <xf numFmtId="43" fontId="18" fillId="15" borderId="13" xfId="77" applyFont="1" applyFill="1" applyBorder="1" applyAlignment="1">
      <alignment/>
    </xf>
    <xf numFmtId="43" fontId="18" fillId="17" borderId="13" xfId="77" applyFont="1" applyFill="1" applyBorder="1" applyAlignment="1">
      <alignment/>
    </xf>
    <xf numFmtId="43" fontId="18" fillId="16" borderId="13" xfId="77" applyFont="1" applyFill="1" applyBorder="1" applyAlignment="1">
      <alignment/>
    </xf>
    <xf numFmtId="43" fontId="23" fillId="0" borderId="0" xfId="0" applyNumberFormat="1" applyFont="1" applyAlignment="1">
      <alignment/>
    </xf>
    <xf numFmtId="43" fontId="18" fillId="23" borderId="13" xfId="77" applyFont="1" applyFill="1" applyBorder="1" applyAlignment="1">
      <alignment/>
    </xf>
    <xf numFmtId="43" fontId="24" fillId="0" borderId="13" xfId="77" applyFont="1" applyBorder="1" applyAlignment="1">
      <alignment/>
    </xf>
    <xf numFmtId="0" fontId="25" fillId="19" borderId="0" xfId="0" applyFont="1" applyFill="1" applyAlignment="1">
      <alignment/>
    </xf>
    <xf numFmtId="0" fontId="22" fillId="0" borderId="0" xfId="0" applyFont="1" applyAlignment="1">
      <alignment/>
    </xf>
    <xf numFmtId="4" fontId="26" fillId="0" borderId="0" xfId="0" applyNumberFormat="1" applyFont="1" applyAlignment="1">
      <alignment/>
    </xf>
    <xf numFmtId="0" fontId="27" fillId="19" borderId="0" xfId="0" applyFont="1" applyFill="1" applyAlignment="1">
      <alignment/>
    </xf>
    <xf numFmtId="0" fontId="26" fillId="0" borderId="0" xfId="0" applyFont="1" applyAlignment="1">
      <alignment/>
    </xf>
    <xf numFmtId="4" fontId="26" fillId="13" borderId="13" xfId="0" applyNumberFormat="1" applyFont="1" applyFill="1" applyBorder="1" applyAlignment="1">
      <alignment horizontal="center"/>
    </xf>
    <xf numFmtId="4" fontId="26" fillId="3" borderId="13" xfId="0" applyNumberFormat="1" applyFont="1" applyFill="1" applyBorder="1" applyAlignment="1">
      <alignment horizontal="center"/>
    </xf>
    <xf numFmtId="4" fontId="26" fillId="4" borderId="13" xfId="0" applyNumberFormat="1" applyFont="1" applyFill="1" applyBorder="1" applyAlignment="1">
      <alignment horizontal="center"/>
    </xf>
    <xf numFmtId="4" fontId="26" fillId="16" borderId="13" xfId="0" applyNumberFormat="1" applyFont="1" applyFill="1" applyBorder="1" applyAlignment="1">
      <alignment horizontal="center"/>
    </xf>
    <xf numFmtId="4" fontId="26" fillId="10" borderId="13" xfId="0" applyNumberFormat="1" applyFont="1" applyFill="1" applyBorder="1" applyAlignment="1">
      <alignment horizontal="center"/>
    </xf>
    <xf numFmtId="4" fontId="26" fillId="6" borderId="13" xfId="0" applyNumberFormat="1" applyFont="1" applyFill="1" applyBorder="1" applyAlignment="1">
      <alignment horizontal="center"/>
    </xf>
    <xf numFmtId="4" fontId="26" fillId="26" borderId="13" xfId="0" applyNumberFormat="1" applyFont="1" applyFill="1" applyBorder="1" applyAlignment="1">
      <alignment horizontal="center"/>
    </xf>
    <xf numFmtId="4" fontId="26" fillId="11" borderId="13" xfId="0" applyNumberFormat="1" applyFont="1" applyFill="1" applyBorder="1" applyAlignment="1">
      <alignment horizontal="center"/>
    </xf>
    <xf numFmtId="4" fontId="26" fillId="22" borderId="13" xfId="0" applyNumberFormat="1" applyFont="1" applyFill="1" applyBorder="1" applyAlignment="1">
      <alignment horizontal="center"/>
    </xf>
    <xf numFmtId="0" fontId="28" fillId="0" borderId="0" xfId="0" applyFont="1" applyAlignment="1" quotePrefix="1">
      <alignment horizontal="center"/>
    </xf>
    <xf numFmtId="0" fontId="28" fillId="0" borderId="0" xfId="0" applyFont="1" applyAlignment="1">
      <alignment/>
    </xf>
    <xf numFmtId="4" fontId="28" fillId="10" borderId="0" xfId="0" applyNumberFormat="1" applyFont="1" applyFill="1" applyAlignment="1">
      <alignment/>
    </xf>
    <xf numFmtId="0" fontId="29" fillId="20" borderId="0" xfId="0" applyFont="1" applyFill="1" applyAlignment="1" quotePrefix="1">
      <alignment horizontal="center"/>
    </xf>
    <xf numFmtId="0" fontId="29" fillId="20" borderId="0" xfId="0" applyFont="1" applyFill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4" fontId="28" fillId="0" borderId="0" xfId="0" applyNumberFormat="1" applyFont="1" applyAlignment="1">
      <alignment/>
    </xf>
    <xf numFmtId="0" fontId="29" fillId="20" borderId="0" xfId="0" applyFont="1" applyFill="1" applyAlignment="1">
      <alignment horizontal="center"/>
    </xf>
    <xf numFmtId="0" fontId="30" fillId="0" borderId="0" xfId="0" applyFont="1" applyAlignment="1">
      <alignment/>
    </xf>
    <xf numFmtId="4" fontId="31" fillId="10" borderId="13" xfId="0" applyNumberFormat="1" applyFont="1" applyFill="1" applyBorder="1" applyAlignment="1">
      <alignment/>
    </xf>
    <xf numFmtId="4" fontId="26" fillId="11" borderId="16" xfId="0" applyNumberFormat="1" applyFont="1" applyFill="1" applyBorder="1" applyAlignment="1">
      <alignment/>
    </xf>
    <xf numFmtId="0" fontId="27" fillId="0" borderId="0" xfId="0" applyFont="1" applyAlignment="1">
      <alignment/>
    </xf>
    <xf numFmtId="4" fontId="32" fillId="6" borderId="0" xfId="0" applyNumberFormat="1" applyFont="1" applyFill="1" applyAlignment="1">
      <alignment/>
    </xf>
    <xf numFmtId="0" fontId="33" fillId="0" borderId="0" xfId="0" applyFont="1" applyAlignment="1">
      <alignment/>
    </xf>
    <xf numFmtId="164" fontId="26" fillId="0" borderId="0" xfId="0" applyNumberFormat="1" applyFont="1" applyAlignment="1">
      <alignment/>
    </xf>
    <xf numFmtId="0" fontId="26" fillId="0" borderId="0" xfId="0" applyFont="1" applyAlignment="1">
      <alignment horizontal="center"/>
    </xf>
    <xf numFmtId="164" fontId="26" fillId="0" borderId="0" xfId="0" applyNumberFormat="1" applyFont="1" applyAlignment="1" applyProtection="1">
      <alignment horizontal="left"/>
      <protection locked="0"/>
    </xf>
    <xf numFmtId="0" fontId="26" fillId="0" borderId="0" xfId="0" applyFont="1" applyAlignment="1" applyProtection="1">
      <alignment/>
      <protection locked="0"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26" fillId="0" borderId="0" xfId="0" applyNumberFormat="1" applyFont="1" applyAlignment="1" quotePrefix="1">
      <alignment/>
    </xf>
    <xf numFmtId="0" fontId="26" fillId="0" borderId="0" xfId="0" applyFont="1" applyAlignment="1">
      <alignment vertical="top"/>
    </xf>
    <xf numFmtId="4" fontId="34" fillId="0" borderId="0" xfId="0" applyNumberFormat="1" applyFont="1" applyAlignment="1">
      <alignment vertical="top"/>
    </xf>
    <xf numFmtId="43" fontId="23" fillId="20" borderId="16" xfId="0" applyNumberFormat="1" applyFont="1" applyFill="1" applyBorder="1" applyAlignment="1">
      <alignment/>
    </xf>
    <xf numFmtId="43" fontId="21" fillId="20" borderId="16" xfId="0" applyNumberFormat="1" applyFont="1" applyFill="1" applyBorder="1" applyAlignment="1">
      <alignment horizontal="center"/>
    </xf>
    <xf numFmtId="43" fontId="22" fillId="0" borderId="0" xfId="77" applyFont="1" applyAlignment="1">
      <alignment/>
    </xf>
    <xf numFmtId="43" fontId="26" fillId="10" borderId="13" xfId="77" applyFont="1" applyFill="1" applyBorder="1" applyAlignment="1">
      <alignment horizontal="center"/>
    </xf>
    <xf numFmtId="43" fontId="26" fillId="0" borderId="0" xfId="77" applyFont="1" applyAlignment="1">
      <alignment/>
    </xf>
    <xf numFmtId="43" fontId="26" fillId="11" borderId="16" xfId="77" applyFont="1" applyFill="1" applyBorder="1" applyAlignment="1">
      <alignment/>
    </xf>
    <xf numFmtId="43" fontId="0" fillId="0" borderId="13" xfId="77" applyFont="1" applyBorder="1" applyAlignment="1">
      <alignment horizontal="center"/>
    </xf>
  </cellXfs>
  <cellStyles count="9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Incorrecto" xfId="75"/>
    <cellStyle name="Incorrecto 2" xfId="76"/>
    <cellStyle name="Comma" xfId="77"/>
    <cellStyle name="Comma [0]" xfId="78"/>
    <cellStyle name="Millares 2" xfId="79"/>
    <cellStyle name="Millares 3" xfId="80"/>
    <cellStyle name="Currency" xfId="81"/>
    <cellStyle name="Currency [0]" xfId="82"/>
    <cellStyle name="Neutral" xfId="83"/>
    <cellStyle name="Neutral 2" xfId="84"/>
    <cellStyle name="Normal 2" xfId="85"/>
    <cellStyle name="Normal 3" xfId="86"/>
    <cellStyle name="Notas" xfId="87"/>
    <cellStyle name="Notas 2" xfId="88"/>
    <cellStyle name="Percent" xfId="89"/>
    <cellStyle name="Salida" xfId="90"/>
    <cellStyle name="Salida 2" xfId="91"/>
    <cellStyle name="Texto de advertencia" xfId="92"/>
    <cellStyle name="Texto de advertencia 2" xfId="93"/>
    <cellStyle name="Texto explicativo" xfId="94"/>
    <cellStyle name="Texto explicativo 2" xfId="95"/>
    <cellStyle name="Título" xfId="96"/>
    <cellStyle name="Título 1" xfId="97"/>
    <cellStyle name="Título 1 2" xfId="98"/>
    <cellStyle name="Título 2" xfId="99"/>
    <cellStyle name="Título 2 2" xfId="100"/>
    <cellStyle name="Título 3" xfId="101"/>
    <cellStyle name="Título 3 2" xfId="102"/>
    <cellStyle name="Título 4" xfId="103"/>
    <cellStyle name="Total" xfId="104"/>
    <cellStyle name="Total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R126"/>
  <sheetViews>
    <sheetView zoomScale="90" zoomScaleNormal="90" zoomScalePageLayoutView="0" workbookViewId="0" topLeftCell="A1">
      <selection activeCell="J107" sqref="J107"/>
    </sheetView>
  </sheetViews>
  <sheetFormatPr defaultColWidth="11.421875" defaultRowHeight="15"/>
  <cols>
    <col min="1" max="1" width="27.57421875" style="0" customWidth="1"/>
    <col min="2" max="2" width="41.7109375" style="0" customWidth="1"/>
    <col min="3" max="3" width="16.140625" style="1" customWidth="1"/>
    <col min="4" max="4" width="25.28125" style="0" customWidth="1"/>
    <col min="5" max="5" width="20.421875" style="0" customWidth="1"/>
    <col min="6" max="7" width="21.57421875" style="0" customWidth="1"/>
    <col min="8" max="8" width="25.140625" style="0" customWidth="1"/>
    <col min="9" max="9" width="24.57421875" style="0" customWidth="1"/>
    <col min="10" max="10" width="27.7109375" style="0" customWidth="1"/>
    <col min="11" max="11" width="24.7109375" style="0" customWidth="1"/>
    <col min="12" max="12" width="16.57421875" style="0" hidden="1" customWidth="1"/>
    <col min="13" max="13" width="0.2890625" style="0" hidden="1" customWidth="1"/>
    <col min="14" max="14" width="0.13671875" style="0" hidden="1" customWidth="1"/>
    <col min="15" max="15" width="25.8515625" style="0" customWidth="1"/>
    <col min="16" max="16" width="14.140625" style="0" customWidth="1"/>
    <col min="17" max="17" width="15.421875" style="0" bestFit="1" customWidth="1"/>
    <col min="18" max="18" width="19.28125" style="0" bestFit="1" customWidth="1"/>
  </cols>
  <sheetData>
    <row r="1" spans="1:15" ht="15">
      <c r="A1" s="30" t="s">
        <v>293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15">
      <c r="A2" s="30" t="s">
        <v>291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ht="15">
      <c r="A3" s="30" t="s">
        <v>294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</row>
    <row r="4" spans="1:16" s="4" customFormat="1" ht="15">
      <c r="A4" s="8" t="s">
        <v>295</v>
      </c>
      <c r="B4" s="8" t="s">
        <v>296</v>
      </c>
      <c r="C4" s="8" t="s">
        <v>297</v>
      </c>
      <c r="D4" s="8" t="s">
        <v>406</v>
      </c>
      <c r="E4" s="8" t="s">
        <v>580</v>
      </c>
      <c r="F4" s="8" t="s">
        <v>583</v>
      </c>
      <c r="G4" s="8" t="s">
        <v>292</v>
      </c>
      <c r="H4" s="9" t="s">
        <v>410</v>
      </c>
      <c r="I4" s="8" t="s">
        <v>298</v>
      </c>
      <c r="J4" s="8" t="s">
        <v>299</v>
      </c>
      <c r="K4" s="8" t="s">
        <v>300</v>
      </c>
      <c r="L4" s="8" t="s">
        <v>301</v>
      </c>
      <c r="M4" s="8" t="s">
        <v>302</v>
      </c>
      <c r="N4" s="8" t="s">
        <v>303</v>
      </c>
      <c r="O4" s="9" t="s">
        <v>304</v>
      </c>
      <c r="P4" s="26" t="s">
        <v>305</v>
      </c>
    </row>
    <row r="5" spans="1:16" ht="15">
      <c r="A5" s="31" t="s">
        <v>306</v>
      </c>
      <c r="B5" s="5" t="s">
        <v>307</v>
      </c>
      <c r="C5" s="7">
        <v>101</v>
      </c>
      <c r="D5" s="89">
        <v>1507677000</v>
      </c>
      <c r="E5" s="89">
        <v>4100000</v>
      </c>
      <c r="F5" s="89">
        <v>1500000</v>
      </c>
      <c r="G5" s="89">
        <v>1000000</v>
      </c>
      <c r="H5" s="89">
        <f>+D5+E5+F5+G5</f>
        <v>1514277000</v>
      </c>
      <c r="I5" s="89">
        <v>0</v>
      </c>
      <c r="J5" s="89">
        <v>833813841.68</v>
      </c>
      <c r="K5" s="89">
        <v>673863158.32</v>
      </c>
      <c r="L5" s="36">
        <v>447327911.34</v>
      </c>
      <c r="M5" s="3">
        <v>525641175.83</v>
      </c>
      <c r="N5" s="3">
        <v>892949824.17</v>
      </c>
      <c r="O5" s="3">
        <f>+H5-I5-J5-K5</f>
        <v>6600000</v>
      </c>
      <c r="P5" s="14">
        <f>+K5/H5*100</f>
        <v>44.5006533362126</v>
      </c>
    </row>
    <row r="6" spans="1:16" ht="15">
      <c r="A6" s="10"/>
      <c r="B6" s="5" t="s">
        <v>308</v>
      </c>
      <c r="C6" s="7">
        <v>105</v>
      </c>
      <c r="D6" s="89">
        <v>4000000</v>
      </c>
      <c r="E6" s="89"/>
      <c r="F6" s="89"/>
      <c r="G6" s="89"/>
      <c r="H6" s="89">
        <f aca="true" t="shared" si="0" ref="H6:H19">+D6+E6+F6+G6</f>
        <v>4000000</v>
      </c>
      <c r="I6" s="89">
        <v>0</v>
      </c>
      <c r="J6" s="89">
        <v>0</v>
      </c>
      <c r="K6" s="89">
        <v>0</v>
      </c>
      <c r="L6" s="36" t="s">
        <v>582</v>
      </c>
      <c r="M6" s="3">
        <v>154823.21</v>
      </c>
      <c r="N6" s="3">
        <v>14845176.79</v>
      </c>
      <c r="O6" s="3">
        <f aca="true" t="shared" si="1" ref="O6:O19">+H6-I6-J6-K6</f>
        <v>4000000</v>
      </c>
      <c r="P6" s="14">
        <f aca="true" t="shared" si="2" ref="P6:P19">+K6/H6*100</f>
        <v>0</v>
      </c>
    </row>
    <row r="7" spans="1:16" ht="15">
      <c r="A7" s="10"/>
      <c r="B7" s="5" t="s">
        <v>310</v>
      </c>
      <c r="C7" s="7">
        <v>201</v>
      </c>
      <c r="D7" s="89">
        <v>8000000</v>
      </c>
      <c r="E7" s="89"/>
      <c r="F7" s="89">
        <v>3000000</v>
      </c>
      <c r="G7" s="89">
        <v>4000000</v>
      </c>
      <c r="H7" s="89">
        <f t="shared" si="0"/>
        <v>15000000</v>
      </c>
      <c r="I7" s="89">
        <v>0</v>
      </c>
      <c r="J7" s="89">
        <v>1209010.74</v>
      </c>
      <c r="K7" s="89">
        <v>6790989.26</v>
      </c>
      <c r="L7" s="36">
        <v>3939631.01</v>
      </c>
      <c r="M7" s="3">
        <v>3174728.97</v>
      </c>
      <c r="N7" s="3">
        <v>6825271.03</v>
      </c>
      <c r="O7" s="3">
        <f t="shared" si="1"/>
        <v>7000000</v>
      </c>
      <c r="P7" s="14">
        <f t="shared" si="2"/>
        <v>45.27326173333333</v>
      </c>
    </row>
    <row r="8" spans="1:16" ht="15">
      <c r="A8" s="10"/>
      <c r="B8" s="5" t="s">
        <v>311</v>
      </c>
      <c r="C8" s="7">
        <v>202</v>
      </c>
      <c r="D8" s="89">
        <v>1000000</v>
      </c>
      <c r="E8" s="89"/>
      <c r="F8" s="89"/>
      <c r="G8" s="89"/>
      <c r="H8" s="89">
        <f t="shared" si="0"/>
        <v>1000000</v>
      </c>
      <c r="I8" s="89">
        <v>0</v>
      </c>
      <c r="J8" s="89">
        <v>0</v>
      </c>
      <c r="K8" s="89">
        <v>0</v>
      </c>
      <c r="L8" s="36" t="s">
        <v>582</v>
      </c>
      <c r="M8" s="3">
        <v>0</v>
      </c>
      <c r="N8" s="3">
        <v>0</v>
      </c>
      <c r="O8" s="3">
        <f t="shared" si="1"/>
        <v>1000000</v>
      </c>
      <c r="P8" s="14">
        <f t="shared" si="2"/>
        <v>0</v>
      </c>
    </row>
    <row r="9" spans="1:16" ht="15">
      <c r="A9" s="10"/>
      <c r="B9" s="5" t="s">
        <v>312</v>
      </c>
      <c r="C9" s="7">
        <v>301</v>
      </c>
      <c r="D9" s="89">
        <v>926924000</v>
      </c>
      <c r="E9" s="89"/>
      <c r="F9" s="89"/>
      <c r="G9" s="89">
        <v>-16000000</v>
      </c>
      <c r="H9" s="89">
        <f t="shared" si="0"/>
        <v>910924000</v>
      </c>
      <c r="I9" s="89">
        <v>0</v>
      </c>
      <c r="J9" s="89">
        <v>480981811.82</v>
      </c>
      <c r="K9" s="89">
        <v>429942188.18</v>
      </c>
      <c r="L9" s="36">
        <v>283723982.18</v>
      </c>
      <c r="M9" s="3">
        <v>358389541.8</v>
      </c>
      <c r="N9" s="3">
        <v>515216458.2</v>
      </c>
      <c r="O9" s="3">
        <f t="shared" si="1"/>
        <v>0</v>
      </c>
      <c r="P9" s="14">
        <f t="shared" si="2"/>
        <v>47.198469705485856</v>
      </c>
    </row>
    <row r="10" spans="1:18" ht="15">
      <c r="A10" s="10"/>
      <c r="B10" s="5" t="s">
        <v>313</v>
      </c>
      <c r="C10" s="7">
        <v>302</v>
      </c>
      <c r="D10" s="89">
        <v>829336000</v>
      </c>
      <c r="E10" s="89"/>
      <c r="F10" s="89">
        <v>-14500000</v>
      </c>
      <c r="G10" s="89">
        <v>-19000000</v>
      </c>
      <c r="H10" s="89">
        <f t="shared" si="0"/>
        <v>795836000</v>
      </c>
      <c r="I10" s="89">
        <v>0</v>
      </c>
      <c r="J10" s="89">
        <v>433230163.52</v>
      </c>
      <c r="K10" s="89">
        <v>362605836.48</v>
      </c>
      <c r="L10" s="36">
        <v>240254033.15</v>
      </c>
      <c r="M10" s="3">
        <v>290110408.32</v>
      </c>
      <c r="N10" s="3">
        <v>470425591.68</v>
      </c>
      <c r="O10" s="3">
        <f t="shared" si="1"/>
        <v>0</v>
      </c>
      <c r="P10" s="14">
        <f t="shared" si="2"/>
        <v>45.56288437316231</v>
      </c>
      <c r="R10" s="14" t="s">
        <v>309</v>
      </c>
    </row>
    <row r="11" spans="1:18" ht="15">
      <c r="A11" s="10"/>
      <c r="B11" s="5" t="s">
        <v>314</v>
      </c>
      <c r="C11" s="7">
        <v>303</v>
      </c>
      <c r="D11" s="89">
        <v>332100000</v>
      </c>
      <c r="E11" s="89"/>
      <c r="F11" s="89"/>
      <c r="G11" s="89"/>
      <c r="H11" s="89">
        <f t="shared" si="0"/>
        <v>332100000</v>
      </c>
      <c r="I11" s="89">
        <v>0</v>
      </c>
      <c r="J11" s="89">
        <v>0</v>
      </c>
      <c r="K11" s="89">
        <v>323331.03</v>
      </c>
      <c r="L11" s="36">
        <v>323331.03</v>
      </c>
      <c r="M11" s="3">
        <v>0</v>
      </c>
      <c r="N11" s="3">
        <v>0</v>
      </c>
      <c r="O11" s="3">
        <f t="shared" si="1"/>
        <v>331776668.97</v>
      </c>
      <c r="P11" s="14">
        <f t="shared" si="2"/>
        <v>0.09735953929539297</v>
      </c>
      <c r="R11" s="14" t="s">
        <v>309</v>
      </c>
    </row>
    <row r="12" spans="1:18" ht="15">
      <c r="A12" s="10"/>
      <c r="B12" s="5" t="s">
        <v>315</v>
      </c>
      <c r="C12" s="7">
        <v>304</v>
      </c>
      <c r="D12" s="89">
        <v>284400000</v>
      </c>
      <c r="E12" s="89">
        <v>-12376186.93</v>
      </c>
      <c r="F12" s="89"/>
      <c r="G12" s="89"/>
      <c r="H12" s="89">
        <f t="shared" si="0"/>
        <v>272023813.07</v>
      </c>
      <c r="I12" s="89">
        <v>0</v>
      </c>
      <c r="J12" s="89">
        <v>0</v>
      </c>
      <c r="K12" s="89">
        <v>272023813.07</v>
      </c>
      <c r="L12" s="36">
        <v>272023813.07</v>
      </c>
      <c r="M12" s="3">
        <v>0</v>
      </c>
      <c r="N12" s="3">
        <v>247830942</v>
      </c>
      <c r="O12" s="3">
        <f t="shared" si="1"/>
        <v>0</v>
      </c>
      <c r="P12" s="14">
        <f t="shared" si="2"/>
        <v>100</v>
      </c>
      <c r="R12" s="14" t="s">
        <v>309</v>
      </c>
    </row>
    <row r="13" spans="1:16" ht="15">
      <c r="A13" s="10"/>
      <c r="B13" s="5" t="s">
        <v>316</v>
      </c>
      <c r="C13" s="7">
        <v>399</v>
      </c>
      <c r="D13" s="89">
        <v>427103000</v>
      </c>
      <c r="E13" s="89"/>
      <c r="F13" s="89"/>
      <c r="G13" s="89"/>
      <c r="H13" s="89">
        <f t="shared" si="0"/>
        <v>427103000</v>
      </c>
      <c r="I13" s="89">
        <v>0</v>
      </c>
      <c r="J13" s="89">
        <f>242482861.49-175673.33</f>
        <v>242307188.16</v>
      </c>
      <c r="K13" s="89">
        <f>184620138.51+175673.33</f>
        <v>184795811.84</v>
      </c>
      <c r="L13" s="36">
        <v>122051409.7</v>
      </c>
      <c r="M13" s="3">
        <v>171121518.99</v>
      </c>
      <c r="N13" s="3">
        <v>230897481.01</v>
      </c>
      <c r="O13" s="3">
        <f t="shared" si="1"/>
        <v>0</v>
      </c>
      <c r="P13" s="14">
        <f t="shared" si="2"/>
        <v>43.267270855039655</v>
      </c>
    </row>
    <row r="14" spans="1:18" ht="15">
      <c r="A14" s="10"/>
      <c r="B14" s="5" t="s">
        <v>317</v>
      </c>
      <c r="C14" s="7">
        <v>401</v>
      </c>
      <c r="D14" s="89">
        <v>368931000</v>
      </c>
      <c r="E14" s="89"/>
      <c r="F14" s="89"/>
      <c r="G14" s="89"/>
      <c r="H14" s="89">
        <f t="shared" si="0"/>
        <v>368931000</v>
      </c>
      <c r="I14" s="89">
        <v>0</v>
      </c>
      <c r="J14" s="89">
        <v>192072072</v>
      </c>
      <c r="K14" s="89">
        <v>176858928</v>
      </c>
      <c r="L14" s="36">
        <v>126391998</v>
      </c>
      <c r="M14" s="3">
        <v>152512390</v>
      </c>
      <c r="N14" s="3">
        <v>194950610</v>
      </c>
      <c r="O14" s="3">
        <f t="shared" si="1"/>
        <v>0</v>
      </c>
      <c r="P14" s="14">
        <f t="shared" si="2"/>
        <v>47.938212836546676</v>
      </c>
      <c r="R14" s="14" t="s">
        <v>309</v>
      </c>
    </row>
    <row r="15" spans="1:18" ht="15">
      <c r="A15" s="10"/>
      <c r="B15" s="5" t="s">
        <v>318</v>
      </c>
      <c r="C15" s="7">
        <v>405</v>
      </c>
      <c r="D15" s="89">
        <v>19942000</v>
      </c>
      <c r="E15" s="89"/>
      <c r="F15" s="89"/>
      <c r="G15" s="89"/>
      <c r="H15" s="89">
        <f t="shared" si="0"/>
        <v>19942000</v>
      </c>
      <c r="I15" s="89">
        <v>0</v>
      </c>
      <c r="J15" s="89">
        <v>10382046</v>
      </c>
      <c r="K15" s="89">
        <v>9559954</v>
      </c>
      <c r="L15" s="36">
        <v>6832011</v>
      </c>
      <c r="M15" s="3">
        <v>8244096</v>
      </c>
      <c r="N15" s="3">
        <v>10537904</v>
      </c>
      <c r="O15" s="3">
        <f t="shared" si="1"/>
        <v>0</v>
      </c>
      <c r="P15" s="14">
        <f t="shared" si="2"/>
        <v>47.93879249824491</v>
      </c>
      <c r="R15" s="14" t="s">
        <v>309</v>
      </c>
    </row>
    <row r="16" spans="1:18" ht="15">
      <c r="A16" s="10"/>
      <c r="B16" s="5" t="s">
        <v>319</v>
      </c>
      <c r="C16" s="7">
        <v>501</v>
      </c>
      <c r="D16" s="89">
        <v>202613000</v>
      </c>
      <c r="E16" s="89"/>
      <c r="F16" s="89"/>
      <c r="G16" s="89"/>
      <c r="H16" s="89">
        <f t="shared" si="0"/>
        <v>202613000</v>
      </c>
      <c r="I16" s="89">
        <v>0</v>
      </c>
      <c r="J16" s="89">
        <v>106343626</v>
      </c>
      <c r="K16" s="89">
        <v>96269374</v>
      </c>
      <c r="L16" s="36">
        <v>68801371</v>
      </c>
      <c r="M16" s="3">
        <v>85189199</v>
      </c>
      <c r="N16" s="3">
        <v>105633801</v>
      </c>
      <c r="O16" s="3">
        <f t="shared" si="1"/>
        <v>0</v>
      </c>
      <c r="P16" s="14">
        <f t="shared" si="2"/>
        <v>47.51391766569766</v>
      </c>
      <c r="R16" s="14" t="s">
        <v>309</v>
      </c>
    </row>
    <row r="17" spans="1:18" ht="15">
      <c r="A17" s="10"/>
      <c r="B17" s="5" t="s">
        <v>320</v>
      </c>
      <c r="C17" s="7">
        <v>502</v>
      </c>
      <c r="D17" s="89">
        <v>59827000</v>
      </c>
      <c r="E17" s="89"/>
      <c r="F17" s="89"/>
      <c r="G17" s="89"/>
      <c r="H17" s="89">
        <f t="shared" si="0"/>
        <v>59827000</v>
      </c>
      <c r="I17" s="89">
        <v>0</v>
      </c>
      <c r="J17" s="89">
        <v>31147170</v>
      </c>
      <c r="K17" s="89">
        <v>28679830</v>
      </c>
      <c r="L17" s="36">
        <v>20496006</v>
      </c>
      <c r="M17" s="3">
        <v>24731024</v>
      </c>
      <c r="N17" s="3">
        <v>31613976</v>
      </c>
      <c r="O17" s="3">
        <f t="shared" si="1"/>
        <v>0</v>
      </c>
      <c r="P17" s="14">
        <f t="shared" si="2"/>
        <v>47.93793772042723</v>
      </c>
      <c r="R17" s="14" t="s">
        <v>309</v>
      </c>
    </row>
    <row r="18" spans="1:18" ht="15">
      <c r="A18" s="10"/>
      <c r="B18" s="5" t="s">
        <v>321</v>
      </c>
      <c r="C18" s="7">
        <v>503</v>
      </c>
      <c r="D18" s="89">
        <v>119653000</v>
      </c>
      <c r="E18" s="89"/>
      <c r="F18" s="89"/>
      <c r="G18" s="89"/>
      <c r="H18" s="89">
        <f t="shared" si="0"/>
        <v>119653000</v>
      </c>
      <c r="I18" s="89">
        <v>0</v>
      </c>
      <c r="J18" s="89">
        <v>62293364</v>
      </c>
      <c r="K18" s="89">
        <v>57359636</v>
      </c>
      <c r="L18" s="36">
        <v>40991992</v>
      </c>
      <c r="M18" s="3">
        <v>49462103</v>
      </c>
      <c r="N18" s="3">
        <v>63227897</v>
      </c>
      <c r="O18" s="3">
        <f t="shared" si="1"/>
        <v>0</v>
      </c>
      <c r="P18" s="14">
        <f t="shared" si="2"/>
        <v>47.93831830376171</v>
      </c>
      <c r="R18" s="14" t="s">
        <v>309</v>
      </c>
    </row>
    <row r="19" spans="1:18" ht="15">
      <c r="A19" s="32"/>
      <c r="B19" s="5" t="s">
        <v>322</v>
      </c>
      <c r="C19" s="7">
        <v>505</v>
      </c>
      <c r="D19" s="89">
        <v>125000000</v>
      </c>
      <c r="E19" s="89"/>
      <c r="F19" s="89"/>
      <c r="G19" s="89">
        <v>10000000</v>
      </c>
      <c r="H19" s="89">
        <f t="shared" si="0"/>
        <v>135000000</v>
      </c>
      <c r="I19" s="89">
        <v>0</v>
      </c>
      <c r="J19" s="89">
        <v>55763986.08</v>
      </c>
      <c r="K19" s="89">
        <v>69236013.92</v>
      </c>
      <c r="L19" s="36">
        <v>47608924.52</v>
      </c>
      <c r="M19" s="3">
        <v>39772271.26</v>
      </c>
      <c r="N19" s="3">
        <v>69527728.74</v>
      </c>
      <c r="O19" s="3">
        <f t="shared" si="1"/>
        <v>10000000</v>
      </c>
      <c r="P19" s="14">
        <f t="shared" si="2"/>
        <v>51.285936237037035</v>
      </c>
      <c r="R19" s="14" t="s">
        <v>309</v>
      </c>
    </row>
    <row r="20" spans="1:18" ht="21">
      <c r="A20" s="10"/>
      <c r="B20" s="17" t="s">
        <v>323</v>
      </c>
      <c r="C20" s="18"/>
      <c r="D20" s="37">
        <f aca="true" t="shared" si="3" ref="D20:O20">SUM(D5:D19)</f>
        <v>5216506000</v>
      </c>
      <c r="E20" s="37">
        <f t="shared" si="3"/>
        <v>-8276186.93</v>
      </c>
      <c r="F20" s="37">
        <f t="shared" si="3"/>
        <v>-10000000</v>
      </c>
      <c r="G20" s="37">
        <f t="shared" si="3"/>
        <v>-20000000</v>
      </c>
      <c r="H20" s="37">
        <f>SUM(H5:H19)</f>
        <v>5178229813.07</v>
      </c>
      <c r="I20" s="37">
        <f t="shared" si="3"/>
        <v>0</v>
      </c>
      <c r="J20" s="37">
        <f t="shared" si="3"/>
        <v>2449544280</v>
      </c>
      <c r="K20" s="37">
        <f t="shared" si="3"/>
        <v>2368308864.1</v>
      </c>
      <c r="L20" s="37">
        <f t="shared" si="3"/>
        <v>1680766414</v>
      </c>
      <c r="M20" s="37">
        <f t="shared" si="3"/>
        <v>1708503280.3799999</v>
      </c>
      <c r="N20" s="37">
        <f t="shared" si="3"/>
        <v>2854482661.62</v>
      </c>
      <c r="O20" s="37">
        <f t="shared" si="3"/>
        <v>360376668.97</v>
      </c>
      <c r="P20" s="41">
        <f>+K20/H20*100</f>
        <v>45.73587788866227</v>
      </c>
      <c r="R20" s="14" t="s">
        <v>309</v>
      </c>
    </row>
    <row r="21" spans="1:18" ht="15">
      <c r="A21" s="33" t="s">
        <v>324</v>
      </c>
      <c r="B21" s="5" t="s">
        <v>325</v>
      </c>
      <c r="C21" s="7">
        <v>10101</v>
      </c>
      <c r="D21" s="3">
        <v>61500000</v>
      </c>
      <c r="E21" s="3">
        <v>-4600000</v>
      </c>
      <c r="F21" s="3">
        <v>-5400000</v>
      </c>
      <c r="G21" s="3">
        <v>-3900000</v>
      </c>
      <c r="H21" s="3">
        <f>+D21+E21+F21+G21</f>
        <v>47600000</v>
      </c>
      <c r="I21" s="3">
        <v>196391.25</v>
      </c>
      <c r="J21" s="3">
        <v>2075523.5</v>
      </c>
      <c r="K21" s="3">
        <v>16014476.5</v>
      </c>
      <c r="L21" s="78">
        <f aca="true" t="shared" si="4" ref="L21:L36">+H21-I21-J21-K21</f>
        <v>29313608.75</v>
      </c>
      <c r="M21" s="3">
        <v>14057000</v>
      </c>
      <c r="N21" s="3">
        <v>2441450</v>
      </c>
      <c r="O21" s="3">
        <f aca="true" t="shared" si="5" ref="O21:O58">+H21-I21-J21-K21</f>
        <v>29313608.75</v>
      </c>
      <c r="P21" s="14">
        <f>+K21/H21*100</f>
        <v>33.64385819327731</v>
      </c>
      <c r="R21" s="14" t="s">
        <v>309</v>
      </c>
    </row>
    <row r="22" spans="1:16" ht="30">
      <c r="A22" s="11"/>
      <c r="B22" s="5" t="s">
        <v>326</v>
      </c>
      <c r="C22" s="7">
        <v>10104</v>
      </c>
      <c r="D22" s="3">
        <v>0</v>
      </c>
      <c r="E22" s="3"/>
      <c r="F22" s="3"/>
      <c r="G22" s="3"/>
      <c r="H22" s="3">
        <f aca="true" t="shared" si="6" ref="H22:H58">+D22+E22+F22+G22</f>
        <v>0</v>
      </c>
      <c r="I22" s="3">
        <v>0</v>
      </c>
      <c r="J22" s="3">
        <v>0</v>
      </c>
      <c r="K22" s="3">
        <v>0</v>
      </c>
      <c r="L22" s="78">
        <f t="shared" si="4"/>
        <v>0</v>
      </c>
      <c r="M22" s="3">
        <v>1389000</v>
      </c>
      <c r="N22" s="3">
        <v>1389000</v>
      </c>
      <c r="O22" s="3">
        <f t="shared" si="5"/>
        <v>0</v>
      </c>
      <c r="P22" s="14">
        <v>0</v>
      </c>
    </row>
    <row r="23" spans="1:16" ht="15">
      <c r="A23" s="11"/>
      <c r="B23" s="5" t="s">
        <v>327</v>
      </c>
      <c r="C23" s="7">
        <v>10199</v>
      </c>
      <c r="D23" s="3">
        <v>100000</v>
      </c>
      <c r="E23" s="3"/>
      <c r="F23" s="3"/>
      <c r="G23" s="3"/>
      <c r="H23" s="3">
        <f t="shared" si="6"/>
        <v>100000</v>
      </c>
      <c r="I23" s="3">
        <v>0</v>
      </c>
      <c r="J23" s="3">
        <v>0</v>
      </c>
      <c r="K23" s="3">
        <v>0</v>
      </c>
      <c r="L23" s="78">
        <f t="shared" si="4"/>
        <v>100000</v>
      </c>
      <c r="M23" s="3">
        <v>1500000</v>
      </c>
      <c r="N23" s="3">
        <v>1042107.9</v>
      </c>
      <c r="O23" s="3">
        <f t="shared" si="5"/>
        <v>100000</v>
      </c>
      <c r="P23" s="14">
        <f aca="true" t="shared" si="7" ref="P23:P29">+K23/H23*100</f>
        <v>0</v>
      </c>
    </row>
    <row r="24" spans="1:16" ht="15">
      <c r="A24" s="11"/>
      <c r="B24" s="5" t="s">
        <v>328</v>
      </c>
      <c r="C24" s="7">
        <v>10201</v>
      </c>
      <c r="D24" s="3">
        <v>20500000</v>
      </c>
      <c r="E24" s="3"/>
      <c r="F24" s="3"/>
      <c r="G24" s="3"/>
      <c r="H24" s="3">
        <f t="shared" si="6"/>
        <v>20500000</v>
      </c>
      <c r="I24" s="3">
        <v>0</v>
      </c>
      <c r="J24" s="3">
        <v>3966075</v>
      </c>
      <c r="K24" s="3">
        <v>8597151</v>
      </c>
      <c r="L24" s="78">
        <f t="shared" si="4"/>
        <v>7936774</v>
      </c>
      <c r="M24" s="3">
        <v>8587000</v>
      </c>
      <c r="N24" s="3">
        <v>0</v>
      </c>
      <c r="O24" s="3">
        <f t="shared" si="5"/>
        <v>7936774</v>
      </c>
      <c r="P24" s="14">
        <f t="shared" si="7"/>
        <v>41.937321951219516</v>
      </c>
    </row>
    <row r="25" spans="1:16" ht="15">
      <c r="A25" s="11"/>
      <c r="B25" s="5" t="s">
        <v>329</v>
      </c>
      <c r="C25" s="7">
        <v>10202</v>
      </c>
      <c r="D25" s="3">
        <v>28500000</v>
      </c>
      <c r="E25" s="3"/>
      <c r="F25" s="3">
        <v>-3000000</v>
      </c>
      <c r="G25" s="3"/>
      <c r="H25" s="3">
        <f t="shared" si="6"/>
        <v>25500000</v>
      </c>
      <c r="I25" s="3">
        <v>0</v>
      </c>
      <c r="J25" s="3">
        <v>3492486.02</v>
      </c>
      <c r="K25" s="3">
        <v>11388193.98</v>
      </c>
      <c r="L25" s="78">
        <f t="shared" si="4"/>
        <v>10619320</v>
      </c>
      <c r="M25" s="3">
        <v>12507000</v>
      </c>
      <c r="N25" s="3">
        <v>0</v>
      </c>
      <c r="O25" s="3">
        <f t="shared" si="5"/>
        <v>10619320</v>
      </c>
      <c r="P25" s="14">
        <f t="shared" si="7"/>
        <v>44.65958423529412</v>
      </c>
    </row>
    <row r="26" spans="1:16" ht="15">
      <c r="A26" s="11"/>
      <c r="B26" s="5" t="s">
        <v>330</v>
      </c>
      <c r="C26" s="7">
        <v>10203</v>
      </c>
      <c r="D26" s="3">
        <v>9000000</v>
      </c>
      <c r="E26" s="3"/>
      <c r="F26" s="3"/>
      <c r="G26" s="3"/>
      <c r="H26" s="3">
        <f t="shared" si="6"/>
        <v>9000000</v>
      </c>
      <c r="I26" s="3">
        <v>0</v>
      </c>
      <c r="J26" s="3">
        <v>1479535</v>
      </c>
      <c r="K26" s="3">
        <v>3120465</v>
      </c>
      <c r="L26" s="78">
        <f t="shared" si="4"/>
        <v>4400000</v>
      </c>
      <c r="M26" s="3">
        <v>3820000</v>
      </c>
      <c r="N26" s="3">
        <v>570000</v>
      </c>
      <c r="O26" s="3">
        <f t="shared" si="5"/>
        <v>4400000</v>
      </c>
      <c r="P26" s="14">
        <f t="shared" si="7"/>
        <v>34.67183333333333</v>
      </c>
    </row>
    <row r="27" spans="1:16" ht="15">
      <c r="A27" s="11"/>
      <c r="B27" s="5" t="s">
        <v>331</v>
      </c>
      <c r="C27" s="7">
        <v>10204</v>
      </c>
      <c r="D27" s="3">
        <v>48250000</v>
      </c>
      <c r="E27" s="3"/>
      <c r="F27" s="3">
        <v>3000000</v>
      </c>
      <c r="G27" s="3">
        <v>2500000</v>
      </c>
      <c r="H27" s="3">
        <f t="shared" si="6"/>
        <v>53750000</v>
      </c>
      <c r="I27" s="3">
        <v>0</v>
      </c>
      <c r="J27" s="3">
        <v>14004407.47</v>
      </c>
      <c r="K27" s="3">
        <v>25486557.21</v>
      </c>
      <c r="L27" s="79">
        <f t="shared" si="4"/>
        <v>14259035.32</v>
      </c>
      <c r="M27" s="3">
        <v>16962000</v>
      </c>
      <c r="N27" s="3">
        <v>0</v>
      </c>
      <c r="O27" s="3">
        <f t="shared" si="5"/>
        <v>14259035.32</v>
      </c>
      <c r="P27" s="14">
        <f t="shared" si="7"/>
        <v>47.41685062325581</v>
      </c>
    </row>
    <row r="28" spans="1:16" ht="15">
      <c r="A28" s="11"/>
      <c r="B28" s="5" t="s">
        <v>332</v>
      </c>
      <c r="C28" s="7">
        <v>10299</v>
      </c>
      <c r="D28" s="3">
        <v>1500000</v>
      </c>
      <c r="E28" s="3"/>
      <c r="F28" s="3"/>
      <c r="G28" s="3"/>
      <c r="H28" s="3">
        <f t="shared" si="6"/>
        <v>1500000</v>
      </c>
      <c r="I28" s="3">
        <v>0</v>
      </c>
      <c r="J28" s="3">
        <v>393185.6</v>
      </c>
      <c r="K28" s="3">
        <v>416814.4</v>
      </c>
      <c r="L28" s="78">
        <f t="shared" si="4"/>
        <v>689999.9999999999</v>
      </c>
      <c r="M28" s="3">
        <v>640000</v>
      </c>
      <c r="N28" s="3">
        <v>0</v>
      </c>
      <c r="O28" s="3">
        <f t="shared" si="5"/>
        <v>689999.9999999999</v>
      </c>
      <c r="P28" s="14">
        <f t="shared" si="7"/>
        <v>27.78762666666667</v>
      </c>
    </row>
    <row r="29" spans="1:16" ht="15">
      <c r="A29" s="11"/>
      <c r="B29" s="5" t="s">
        <v>333</v>
      </c>
      <c r="C29" s="7">
        <v>10301</v>
      </c>
      <c r="D29" s="3">
        <v>6000000</v>
      </c>
      <c r="E29" s="3"/>
      <c r="F29" s="3"/>
      <c r="G29" s="3"/>
      <c r="H29" s="3">
        <f t="shared" si="6"/>
        <v>6000000</v>
      </c>
      <c r="I29" s="3">
        <v>100000</v>
      </c>
      <c r="J29" s="3">
        <v>1119220</v>
      </c>
      <c r="K29" s="3">
        <v>500152</v>
      </c>
      <c r="L29" s="78">
        <f t="shared" si="4"/>
        <v>4280628</v>
      </c>
      <c r="M29" s="3">
        <v>1000000</v>
      </c>
      <c r="N29" s="3">
        <v>0</v>
      </c>
      <c r="O29" s="3">
        <f t="shared" si="5"/>
        <v>4280628</v>
      </c>
      <c r="P29" s="14">
        <f t="shared" si="7"/>
        <v>8.335866666666666</v>
      </c>
    </row>
    <row r="30" spans="1:16" ht="15">
      <c r="A30" s="11"/>
      <c r="B30" s="5" t="s">
        <v>404</v>
      </c>
      <c r="C30" s="7">
        <v>10302</v>
      </c>
      <c r="D30" s="3">
        <v>0</v>
      </c>
      <c r="E30" s="3"/>
      <c r="F30" s="3"/>
      <c r="G30" s="3"/>
      <c r="H30" s="3">
        <f t="shared" si="6"/>
        <v>0</v>
      </c>
      <c r="I30" s="3">
        <v>0</v>
      </c>
      <c r="J30" s="3">
        <v>0</v>
      </c>
      <c r="K30" s="3">
        <v>0</v>
      </c>
      <c r="L30" s="78">
        <f t="shared" si="4"/>
        <v>0</v>
      </c>
      <c r="M30" s="3"/>
      <c r="N30" s="3"/>
      <c r="O30" s="3">
        <f t="shared" si="5"/>
        <v>0</v>
      </c>
      <c r="P30" s="14">
        <v>0</v>
      </c>
    </row>
    <row r="31" spans="1:16" ht="15">
      <c r="A31" s="11"/>
      <c r="B31" s="5" t="s">
        <v>334</v>
      </c>
      <c r="C31" s="7">
        <v>10303</v>
      </c>
      <c r="D31" s="3">
        <v>4000000</v>
      </c>
      <c r="E31" s="3"/>
      <c r="F31" s="3"/>
      <c r="G31" s="3"/>
      <c r="H31" s="3">
        <f t="shared" si="6"/>
        <v>4000000</v>
      </c>
      <c r="I31" s="3">
        <v>400000</v>
      </c>
      <c r="J31" s="3">
        <v>367315</v>
      </c>
      <c r="K31" s="3">
        <v>84135</v>
      </c>
      <c r="L31" s="78">
        <f t="shared" si="4"/>
        <v>3148550</v>
      </c>
      <c r="M31" s="3">
        <v>5000000</v>
      </c>
      <c r="N31" s="3">
        <v>4700000</v>
      </c>
      <c r="O31" s="3">
        <f t="shared" si="5"/>
        <v>3148550</v>
      </c>
      <c r="P31" s="14">
        <f>+K31/H31*100</f>
        <v>2.103375</v>
      </c>
    </row>
    <row r="32" spans="1:16" ht="15">
      <c r="A32" s="11"/>
      <c r="B32" s="5" t="s">
        <v>335</v>
      </c>
      <c r="C32" s="7">
        <v>10304</v>
      </c>
      <c r="D32" s="3">
        <v>200000</v>
      </c>
      <c r="E32" s="3"/>
      <c r="F32" s="3"/>
      <c r="G32" s="3"/>
      <c r="H32" s="3">
        <f t="shared" si="6"/>
        <v>200000</v>
      </c>
      <c r="I32" s="3">
        <v>0</v>
      </c>
      <c r="J32" s="3">
        <v>2000</v>
      </c>
      <c r="K32" s="3">
        <v>8000</v>
      </c>
      <c r="L32" s="78">
        <f t="shared" si="4"/>
        <v>190000</v>
      </c>
      <c r="M32" s="3">
        <v>71600</v>
      </c>
      <c r="N32" s="3">
        <v>0</v>
      </c>
      <c r="O32" s="3">
        <f t="shared" si="5"/>
        <v>190000</v>
      </c>
      <c r="P32" s="14">
        <f>+K32/H32*100</f>
        <v>4</v>
      </c>
    </row>
    <row r="33" spans="1:16" ht="15">
      <c r="A33" s="11"/>
      <c r="B33" s="5" t="s">
        <v>336</v>
      </c>
      <c r="C33" s="7">
        <v>10306</v>
      </c>
      <c r="D33" s="3">
        <v>1700000</v>
      </c>
      <c r="E33" s="3"/>
      <c r="F33" s="3">
        <v>700000</v>
      </c>
      <c r="G33" s="3"/>
      <c r="H33" s="3">
        <f t="shared" si="6"/>
        <v>2400000</v>
      </c>
      <c r="I33" s="3">
        <v>0</v>
      </c>
      <c r="J33" s="3">
        <v>1112466.82</v>
      </c>
      <c r="K33" s="3">
        <v>437533.18</v>
      </c>
      <c r="L33" s="78">
        <f t="shared" si="4"/>
        <v>850000</v>
      </c>
      <c r="M33" s="3">
        <v>87000</v>
      </c>
      <c r="N33" s="3">
        <v>87000</v>
      </c>
      <c r="O33" s="3">
        <f t="shared" si="5"/>
        <v>850000</v>
      </c>
      <c r="P33" s="14">
        <f>+K33/H33*100</f>
        <v>18.230549166666666</v>
      </c>
    </row>
    <row r="34" spans="1:16" ht="30">
      <c r="A34" s="11"/>
      <c r="B34" s="5" t="s">
        <v>337</v>
      </c>
      <c r="C34" s="7">
        <v>10307</v>
      </c>
      <c r="D34" s="3">
        <v>16800000</v>
      </c>
      <c r="E34" s="3"/>
      <c r="F34" s="3"/>
      <c r="G34" s="3">
        <v>1400000</v>
      </c>
      <c r="H34" s="3">
        <f t="shared" si="6"/>
        <v>18200000</v>
      </c>
      <c r="I34" s="3">
        <v>0</v>
      </c>
      <c r="J34" s="3">
        <v>351807.15</v>
      </c>
      <c r="K34" s="3">
        <v>3848192.85</v>
      </c>
      <c r="L34" s="78">
        <f t="shared" si="4"/>
        <v>14000000.000000002</v>
      </c>
      <c r="M34" s="3">
        <v>3500000</v>
      </c>
      <c r="N34" s="3">
        <v>1700000</v>
      </c>
      <c r="O34" s="3">
        <f t="shared" si="5"/>
        <v>14000000.000000002</v>
      </c>
      <c r="P34" s="14">
        <f>+K34/H34*100</f>
        <v>21.143916758241758</v>
      </c>
    </row>
    <row r="35" spans="1:16" ht="15">
      <c r="A35" s="11"/>
      <c r="B35" s="5" t="s">
        <v>578</v>
      </c>
      <c r="C35" s="7">
        <v>10401</v>
      </c>
      <c r="D35" s="3">
        <v>200000</v>
      </c>
      <c r="E35" s="3"/>
      <c r="F35" s="3"/>
      <c r="G35" s="3"/>
      <c r="H35" s="3">
        <f t="shared" si="6"/>
        <v>200000</v>
      </c>
      <c r="I35" s="3"/>
      <c r="J35" s="3"/>
      <c r="K35" s="3"/>
      <c r="L35" s="78"/>
      <c r="M35" s="3"/>
      <c r="N35" s="3"/>
      <c r="O35" s="3">
        <f t="shared" si="5"/>
        <v>200000</v>
      </c>
      <c r="P35" s="14">
        <f aca="true" t="shared" si="8" ref="P35:P55">+K35/H35*100</f>
        <v>0</v>
      </c>
    </row>
    <row r="36" spans="1:16" ht="15">
      <c r="A36" s="11"/>
      <c r="B36" s="5" t="s">
        <v>408</v>
      </c>
      <c r="C36" s="7">
        <v>10403</v>
      </c>
      <c r="D36" s="3">
        <v>650000</v>
      </c>
      <c r="E36" s="3"/>
      <c r="F36" s="3"/>
      <c r="G36" s="3"/>
      <c r="H36" s="3">
        <f t="shared" si="6"/>
        <v>650000</v>
      </c>
      <c r="I36" s="3"/>
      <c r="J36" s="3"/>
      <c r="K36" s="3"/>
      <c r="L36" s="78">
        <f t="shared" si="4"/>
        <v>650000</v>
      </c>
      <c r="M36" s="3"/>
      <c r="N36" s="3"/>
      <c r="O36" s="3">
        <f t="shared" si="5"/>
        <v>650000</v>
      </c>
      <c r="P36" s="14">
        <f t="shared" si="8"/>
        <v>0</v>
      </c>
    </row>
    <row r="37" spans="1:16" ht="15">
      <c r="A37" s="11"/>
      <c r="B37" s="5" t="s">
        <v>581</v>
      </c>
      <c r="C37" s="7">
        <v>10404</v>
      </c>
      <c r="D37" s="3">
        <v>9000000</v>
      </c>
      <c r="E37" s="3"/>
      <c r="F37" s="3"/>
      <c r="G37" s="3"/>
      <c r="H37" s="3">
        <f t="shared" si="6"/>
        <v>9000000</v>
      </c>
      <c r="I37" s="3">
        <v>9000000</v>
      </c>
      <c r="J37" s="3">
        <v>0</v>
      </c>
      <c r="K37" s="3">
        <v>0</v>
      </c>
      <c r="L37" s="78"/>
      <c r="M37" s="3"/>
      <c r="N37" s="3"/>
      <c r="O37" s="3">
        <f t="shared" si="5"/>
        <v>0</v>
      </c>
      <c r="P37" s="14">
        <f t="shared" si="8"/>
        <v>0</v>
      </c>
    </row>
    <row r="38" spans="1:16" ht="30">
      <c r="A38" s="11"/>
      <c r="B38" s="5" t="s">
        <v>338</v>
      </c>
      <c r="C38" s="7">
        <v>10405</v>
      </c>
      <c r="D38" s="3">
        <v>88000000</v>
      </c>
      <c r="E38" s="3"/>
      <c r="F38" s="3"/>
      <c r="G38" s="3">
        <v>-60000000</v>
      </c>
      <c r="H38" s="3">
        <f t="shared" si="6"/>
        <v>28000000</v>
      </c>
      <c r="I38" s="3">
        <v>23725000</v>
      </c>
      <c r="J38" s="3">
        <v>0</v>
      </c>
      <c r="K38" s="3">
        <v>0</v>
      </c>
      <c r="L38" s="78">
        <f aca="true" t="shared" si="9" ref="L38:L57">+H37-I38-J38-K38</f>
        <v>-14725000</v>
      </c>
      <c r="M38" s="3">
        <v>10000000</v>
      </c>
      <c r="N38" s="3">
        <v>10000000</v>
      </c>
      <c r="O38" s="3">
        <f t="shared" si="5"/>
        <v>4275000</v>
      </c>
      <c r="P38" s="14">
        <f t="shared" si="8"/>
        <v>0</v>
      </c>
    </row>
    <row r="39" spans="1:16" ht="30">
      <c r="A39" s="11"/>
      <c r="B39" s="5" t="s">
        <v>339</v>
      </c>
      <c r="C39" s="7">
        <v>10406</v>
      </c>
      <c r="D39" s="3">
        <v>113300000</v>
      </c>
      <c r="E39" s="3"/>
      <c r="F39" s="3"/>
      <c r="G39" s="3"/>
      <c r="H39" s="3">
        <f t="shared" si="6"/>
        <v>113300000</v>
      </c>
      <c r="I39" s="3">
        <v>8833100</v>
      </c>
      <c r="J39" s="3">
        <v>24520615.51</v>
      </c>
      <c r="K39" s="3">
        <v>28744321.4</v>
      </c>
      <c r="L39" s="78">
        <f t="shared" si="9"/>
        <v>-34098036.91</v>
      </c>
      <c r="M39" s="3">
        <v>54432000</v>
      </c>
      <c r="N39" s="3">
        <v>9675628.23</v>
      </c>
      <c r="O39" s="3">
        <f t="shared" si="5"/>
        <v>51201963.089999996</v>
      </c>
      <c r="P39" s="14">
        <f t="shared" si="8"/>
        <v>25.37009832303618</v>
      </c>
    </row>
    <row r="40" spans="1:16" ht="15">
      <c r="A40" s="11"/>
      <c r="B40" s="5" t="s">
        <v>340</v>
      </c>
      <c r="C40" s="7">
        <v>10499</v>
      </c>
      <c r="D40" s="3">
        <v>10200000</v>
      </c>
      <c r="E40" s="3"/>
      <c r="F40" s="3"/>
      <c r="G40" s="3"/>
      <c r="H40" s="3">
        <f t="shared" si="6"/>
        <v>10200000</v>
      </c>
      <c r="I40" s="3">
        <v>2491000</v>
      </c>
      <c r="J40" s="3">
        <v>506466.95</v>
      </c>
      <c r="K40" s="3">
        <v>2373533.05</v>
      </c>
      <c r="L40" s="78">
        <f t="shared" si="9"/>
        <v>107929000</v>
      </c>
      <c r="M40" s="3">
        <v>6980000</v>
      </c>
      <c r="N40" s="3">
        <v>4194154.28</v>
      </c>
      <c r="O40" s="3">
        <f t="shared" si="5"/>
        <v>4829000</v>
      </c>
      <c r="P40" s="14">
        <f t="shared" si="8"/>
        <v>23.269931862745096</v>
      </c>
    </row>
    <row r="41" spans="1:16" ht="15">
      <c r="A41" s="11"/>
      <c r="B41" s="5" t="s">
        <v>341</v>
      </c>
      <c r="C41" s="7">
        <v>10501</v>
      </c>
      <c r="D41" s="3">
        <v>2000000</v>
      </c>
      <c r="E41" s="3"/>
      <c r="F41" s="3"/>
      <c r="G41" s="3"/>
      <c r="H41" s="3">
        <f t="shared" si="6"/>
        <v>2000000</v>
      </c>
      <c r="I41" s="3">
        <v>0</v>
      </c>
      <c r="J41" s="3">
        <v>47665</v>
      </c>
      <c r="K41" s="3">
        <v>752335</v>
      </c>
      <c r="L41" s="78">
        <f t="shared" si="9"/>
        <v>9400000</v>
      </c>
      <c r="M41" s="3">
        <v>2000000</v>
      </c>
      <c r="N41" s="3">
        <v>768582.2</v>
      </c>
      <c r="O41" s="3">
        <f t="shared" si="5"/>
        <v>1200000</v>
      </c>
      <c r="P41" s="14">
        <f t="shared" si="8"/>
        <v>37.616749999999996</v>
      </c>
    </row>
    <row r="42" spans="1:16" ht="15">
      <c r="A42" s="11"/>
      <c r="B42" s="5" t="s">
        <v>342</v>
      </c>
      <c r="C42" s="7">
        <v>10502</v>
      </c>
      <c r="D42" s="3">
        <v>25000000</v>
      </c>
      <c r="E42" s="3"/>
      <c r="F42" s="3"/>
      <c r="G42" s="3"/>
      <c r="H42" s="3">
        <f t="shared" si="6"/>
        <v>25000000</v>
      </c>
      <c r="I42" s="3">
        <v>0</v>
      </c>
      <c r="J42" s="3">
        <v>2445232</v>
      </c>
      <c r="K42" s="3">
        <v>10147568</v>
      </c>
      <c r="L42" s="78">
        <f t="shared" si="9"/>
        <v>-10592800</v>
      </c>
      <c r="M42" s="3">
        <v>17500000</v>
      </c>
      <c r="N42" s="3">
        <v>6419663</v>
      </c>
      <c r="O42" s="3">
        <f t="shared" si="5"/>
        <v>12407200</v>
      </c>
      <c r="P42" s="14">
        <f t="shared" si="8"/>
        <v>40.590272</v>
      </c>
    </row>
    <row r="43" spans="1:16" ht="15">
      <c r="A43" s="11"/>
      <c r="B43" s="5" t="s">
        <v>343</v>
      </c>
      <c r="C43" s="7">
        <v>10503</v>
      </c>
      <c r="D43" s="3">
        <v>3000000</v>
      </c>
      <c r="E43" s="3"/>
      <c r="F43" s="3"/>
      <c r="G43" s="3"/>
      <c r="H43" s="3">
        <f t="shared" si="6"/>
        <v>3000000</v>
      </c>
      <c r="I43" s="3">
        <v>0</v>
      </c>
      <c r="J43" s="3">
        <v>8072.19</v>
      </c>
      <c r="K43" s="3">
        <v>869112.49</v>
      </c>
      <c r="L43" s="78">
        <f t="shared" si="9"/>
        <v>24122815.32</v>
      </c>
      <c r="M43" s="3">
        <v>2000000</v>
      </c>
      <c r="N43" s="3">
        <v>1430000</v>
      </c>
      <c r="O43" s="3">
        <f t="shared" si="5"/>
        <v>2122815.3200000003</v>
      </c>
      <c r="P43" s="14">
        <f t="shared" si="8"/>
        <v>28.970416333333333</v>
      </c>
    </row>
    <row r="44" spans="1:16" ht="15">
      <c r="A44" s="11"/>
      <c r="B44" s="5" t="s">
        <v>344</v>
      </c>
      <c r="C44" s="7">
        <v>10504</v>
      </c>
      <c r="D44" s="3">
        <v>4500000</v>
      </c>
      <c r="E44" s="3"/>
      <c r="F44" s="3"/>
      <c r="G44" s="3"/>
      <c r="H44" s="3">
        <f t="shared" si="6"/>
        <v>4500000</v>
      </c>
      <c r="I44" s="3">
        <v>0</v>
      </c>
      <c r="J44" s="3">
        <v>965125.37</v>
      </c>
      <c r="K44" s="3">
        <v>1534874.63</v>
      </c>
      <c r="L44" s="78">
        <f t="shared" si="9"/>
        <v>500000</v>
      </c>
      <c r="M44" s="3">
        <v>3000000</v>
      </c>
      <c r="N44" s="3">
        <v>3000000</v>
      </c>
      <c r="O44" s="3">
        <f t="shared" si="5"/>
        <v>2000000</v>
      </c>
      <c r="P44" s="14">
        <f t="shared" si="8"/>
        <v>34.10832511111111</v>
      </c>
    </row>
    <row r="45" spans="1:16" ht="15">
      <c r="A45" s="11"/>
      <c r="B45" s="5" t="s">
        <v>345</v>
      </c>
      <c r="C45" s="7">
        <v>10601</v>
      </c>
      <c r="D45" s="3">
        <v>45000000</v>
      </c>
      <c r="E45" s="3"/>
      <c r="F45" s="3">
        <v>-1500000</v>
      </c>
      <c r="G45" s="3">
        <v>-6000000</v>
      </c>
      <c r="H45" s="3">
        <f t="shared" si="6"/>
        <v>37500000</v>
      </c>
      <c r="I45" s="3">
        <v>0</v>
      </c>
      <c r="J45" s="3">
        <v>0</v>
      </c>
      <c r="K45" s="3">
        <v>27418870</v>
      </c>
      <c r="L45" s="78">
        <f t="shared" si="9"/>
        <v>-22918870</v>
      </c>
      <c r="M45" s="3">
        <v>35400000</v>
      </c>
      <c r="N45" s="3">
        <v>0</v>
      </c>
      <c r="O45" s="3">
        <f t="shared" si="5"/>
        <v>10081130</v>
      </c>
      <c r="P45" s="14">
        <f t="shared" si="8"/>
        <v>73.11698666666666</v>
      </c>
    </row>
    <row r="46" spans="1:16" ht="15">
      <c r="A46" s="11"/>
      <c r="B46" s="5" t="s">
        <v>346</v>
      </c>
      <c r="C46" s="7">
        <v>10701</v>
      </c>
      <c r="D46" s="3">
        <v>10000000</v>
      </c>
      <c r="E46" s="3"/>
      <c r="F46" s="3"/>
      <c r="G46" s="3"/>
      <c r="H46" s="3">
        <f t="shared" si="6"/>
        <v>10000000</v>
      </c>
      <c r="I46" s="3">
        <v>0</v>
      </c>
      <c r="J46" s="3">
        <v>591525</v>
      </c>
      <c r="K46" s="3">
        <v>3045843.35</v>
      </c>
      <c r="L46" s="78">
        <f t="shared" si="9"/>
        <v>33862631.65</v>
      </c>
      <c r="M46" s="3">
        <v>4000000</v>
      </c>
      <c r="N46" s="3">
        <v>1634836</v>
      </c>
      <c r="O46" s="3">
        <f t="shared" si="5"/>
        <v>6362631.65</v>
      </c>
      <c r="P46" s="14">
        <f t="shared" si="8"/>
        <v>30.458433499999998</v>
      </c>
    </row>
    <row r="47" spans="1:16" ht="15">
      <c r="A47" s="11"/>
      <c r="B47" s="5" t="s">
        <v>347</v>
      </c>
      <c r="C47" s="7">
        <v>10702</v>
      </c>
      <c r="D47" s="3">
        <v>3000000</v>
      </c>
      <c r="E47" s="3"/>
      <c r="F47" s="3"/>
      <c r="G47" s="3"/>
      <c r="H47" s="3">
        <f t="shared" si="6"/>
        <v>3000000</v>
      </c>
      <c r="I47" s="3">
        <v>882000</v>
      </c>
      <c r="J47" s="3">
        <v>81370</v>
      </c>
      <c r="K47" s="3">
        <v>18630</v>
      </c>
      <c r="L47" s="78">
        <f t="shared" si="9"/>
        <v>9018000</v>
      </c>
      <c r="M47" s="3">
        <v>3000000</v>
      </c>
      <c r="N47" s="3">
        <v>2368530</v>
      </c>
      <c r="O47" s="3">
        <f t="shared" si="5"/>
        <v>2018000</v>
      </c>
      <c r="P47" s="14">
        <f t="shared" si="8"/>
        <v>0.621</v>
      </c>
    </row>
    <row r="48" spans="1:16" ht="15">
      <c r="A48" s="11"/>
      <c r="B48" s="5" t="s">
        <v>348</v>
      </c>
      <c r="C48" s="7">
        <v>10703</v>
      </c>
      <c r="D48" s="3">
        <v>200000</v>
      </c>
      <c r="E48" s="3"/>
      <c r="F48" s="3"/>
      <c r="G48" s="3"/>
      <c r="H48" s="3">
        <f t="shared" si="6"/>
        <v>200000</v>
      </c>
      <c r="I48" s="3">
        <v>0</v>
      </c>
      <c r="J48" s="3">
        <v>131400</v>
      </c>
      <c r="K48" s="3">
        <v>68600</v>
      </c>
      <c r="L48" s="78">
        <f t="shared" si="9"/>
        <v>2800000</v>
      </c>
      <c r="M48" s="3">
        <v>500000</v>
      </c>
      <c r="N48" s="3">
        <v>0</v>
      </c>
      <c r="O48" s="3">
        <f t="shared" si="5"/>
        <v>0</v>
      </c>
      <c r="P48" s="14">
        <f t="shared" si="8"/>
        <v>34.300000000000004</v>
      </c>
    </row>
    <row r="49" spans="1:18" ht="15">
      <c r="A49" s="11"/>
      <c r="B49" s="5" t="s">
        <v>349</v>
      </c>
      <c r="C49" s="7">
        <v>10801</v>
      </c>
      <c r="D49" s="3">
        <v>30000000</v>
      </c>
      <c r="E49" s="3">
        <v>-3000000</v>
      </c>
      <c r="F49" s="3"/>
      <c r="G49" s="3">
        <v>4000000</v>
      </c>
      <c r="H49" s="3">
        <f t="shared" si="6"/>
        <v>31000000</v>
      </c>
      <c r="I49" s="3">
        <v>80000</v>
      </c>
      <c r="J49" s="3">
        <v>5506101</v>
      </c>
      <c r="K49" s="3">
        <v>399999</v>
      </c>
      <c r="L49" s="78">
        <f t="shared" si="9"/>
        <v>-5786100</v>
      </c>
      <c r="M49" s="3">
        <v>28000000</v>
      </c>
      <c r="N49" s="3">
        <v>22343000</v>
      </c>
      <c r="O49" s="3">
        <f t="shared" si="5"/>
        <v>25013900</v>
      </c>
      <c r="P49" s="14">
        <f t="shared" si="8"/>
        <v>1.2903193548387097</v>
      </c>
      <c r="R49" s="14" t="s">
        <v>309</v>
      </c>
    </row>
    <row r="50" spans="1:16" ht="15">
      <c r="A50" s="11"/>
      <c r="B50" s="5" t="s">
        <v>350</v>
      </c>
      <c r="C50" s="7">
        <v>10804</v>
      </c>
      <c r="D50" s="3">
        <v>4000000</v>
      </c>
      <c r="E50" s="3"/>
      <c r="F50" s="3"/>
      <c r="G50" s="3"/>
      <c r="H50" s="3">
        <f t="shared" si="6"/>
        <v>4000000</v>
      </c>
      <c r="I50" s="3">
        <v>0</v>
      </c>
      <c r="J50" s="3">
        <v>730000</v>
      </c>
      <c r="K50" s="3">
        <v>1083250</v>
      </c>
      <c r="L50" s="78">
        <f t="shared" si="9"/>
        <v>29186750</v>
      </c>
      <c r="M50" s="3">
        <v>3200000</v>
      </c>
      <c r="N50" s="3">
        <v>0</v>
      </c>
      <c r="O50" s="3">
        <f t="shared" si="5"/>
        <v>2186750</v>
      </c>
      <c r="P50" s="14">
        <f t="shared" si="8"/>
        <v>27.08125</v>
      </c>
    </row>
    <row r="51" spans="1:16" ht="15">
      <c r="A51" s="11"/>
      <c r="B51" s="5" t="s">
        <v>351</v>
      </c>
      <c r="C51" s="7">
        <v>10805</v>
      </c>
      <c r="D51" s="3">
        <v>9000000</v>
      </c>
      <c r="E51" s="3"/>
      <c r="F51" s="3">
        <v>2000000</v>
      </c>
      <c r="G51" s="3">
        <v>1500000</v>
      </c>
      <c r="H51" s="3">
        <f t="shared" si="6"/>
        <v>12500000</v>
      </c>
      <c r="I51" s="3">
        <v>650000</v>
      </c>
      <c r="J51" s="3">
        <v>3970839.5</v>
      </c>
      <c r="K51" s="3">
        <v>3478745.5</v>
      </c>
      <c r="L51" s="78">
        <f t="shared" si="9"/>
        <v>-4099585</v>
      </c>
      <c r="M51" s="3">
        <v>3412000</v>
      </c>
      <c r="N51" s="3">
        <v>0</v>
      </c>
      <c r="O51" s="3">
        <f t="shared" si="5"/>
        <v>4400415</v>
      </c>
      <c r="P51" s="14">
        <f t="shared" si="8"/>
        <v>27.829964</v>
      </c>
    </row>
    <row r="52" spans="1:16" ht="15">
      <c r="A52" s="11"/>
      <c r="B52" s="5" t="s">
        <v>352</v>
      </c>
      <c r="C52" s="7">
        <v>10806</v>
      </c>
      <c r="D52" s="3">
        <v>1000000</v>
      </c>
      <c r="E52" s="3"/>
      <c r="F52" s="3"/>
      <c r="G52" s="3"/>
      <c r="H52" s="3">
        <f t="shared" si="6"/>
        <v>1000000</v>
      </c>
      <c r="I52" s="3">
        <v>0</v>
      </c>
      <c r="J52" s="3">
        <v>0</v>
      </c>
      <c r="K52" s="3">
        <v>40000</v>
      </c>
      <c r="L52" s="78">
        <f t="shared" si="9"/>
        <v>12460000</v>
      </c>
      <c r="M52" s="3">
        <v>1250000</v>
      </c>
      <c r="N52" s="3">
        <v>1200000</v>
      </c>
      <c r="O52" s="3">
        <f t="shared" si="5"/>
        <v>960000</v>
      </c>
      <c r="P52" s="14">
        <f t="shared" si="8"/>
        <v>4</v>
      </c>
    </row>
    <row r="53" spans="1:16" ht="15">
      <c r="A53" s="11"/>
      <c r="B53" s="5" t="s">
        <v>353</v>
      </c>
      <c r="C53" s="7">
        <v>10807</v>
      </c>
      <c r="D53" s="3">
        <v>3500000</v>
      </c>
      <c r="E53" s="3"/>
      <c r="F53" s="3"/>
      <c r="G53" s="3"/>
      <c r="H53" s="3">
        <f t="shared" si="6"/>
        <v>3500000</v>
      </c>
      <c r="I53" s="3">
        <v>646000</v>
      </c>
      <c r="J53" s="3">
        <v>1694165.19</v>
      </c>
      <c r="K53" s="3">
        <v>106567.15</v>
      </c>
      <c r="L53" s="78">
        <f t="shared" si="9"/>
        <v>-1446732.3399999999</v>
      </c>
      <c r="M53" s="3">
        <v>2600000</v>
      </c>
      <c r="N53" s="3">
        <v>616428.59</v>
      </c>
      <c r="O53" s="3">
        <f t="shared" si="5"/>
        <v>1053267.6600000001</v>
      </c>
      <c r="P53" s="14">
        <f t="shared" si="8"/>
        <v>3.044775714285714</v>
      </c>
    </row>
    <row r="54" spans="1:17" ht="15">
      <c r="A54" s="11"/>
      <c r="B54" s="5" t="s">
        <v>354</v>
      </c>
      <c r="C54" s="7">
        <v>10808</v>
      </c>
      <c r="D54" s="3">
        <v>2500000</v>
      </c>
      <c r="E54" s="3"/>
      <c r="F54" s="3"/>
      <c r="G54" s="3"/>
      <c r="H54" s="3">
        <f t="shared" si="6"/>
        <v>2500000</v>
      </c>
      <c r="I54" s="3">
        <v>205000</v>
      </c>
      <c r="J54" s="3">
        <v>294348.47</v>
      </c>
      <c r="K54" s="3">
        <v>58506.06</v>
      </c>
      <c r="L54" s="78">
        <f t="shared" si="9"/>
        <v>2942145.47</v>
      </c>
      <c r="M54" s="3">
        <v>1000000</v>
      </c>
      <c r="N54" s="3">
        <v>63861.04</v>
      </c>
      <c r="O54" s="3">
        <f t="shared" si="5"/>
        <v>1942145.47</v>
      </c>
      <c r="P54" s="14">
        <f t="shared" si="8"/>
        <v>2.3402423999999997</v>
      </c>
      <c r="Q54" s="14" t="s">
        <v>309</v>
      </c>
    </row>
    <row r="55" spans="1:16" ht="15">
      <c r="A55" s="11"/>
      <c r="B55" s="5" t="s">
        <v>355</v>
      </c>
      <c r="C55" s="7">
        <v>10899</v>
      </c>
      <c r="D55" s="3">
        <v>150000</v>
      </c>
      <c r="E55" s="3"/>
      <c r="F55" s="3"/>
      <c r="G55" s="3"/>
      <c r="H55" s="3">
        <f t="shared" si="6"/>
        <v>150000</v>
      </c>
      <c r="I55" s="3">
        <v>0</v>
      </c>
      <c r="J55" s="3">
        <v>0</v>
      </c>
      <c r="K55" s="3">
        <v>0</v>
      </c>
      <c r="L55" s="78">
        <f t="shared" si="9"/>
        <v>2500000</v>
      </c>
      <c r="M55" s="3"/>
      <c r="N55" s="3"/>
      <c r="O55" s="3">
        <f t="shared" si="5"/>
        <v>150000</v>
      </c>
      <c r="P55" s="14">
        <f t="shared" si="8"/>
        <v>0</v>
      </c>
    </row>
    <row r="56" spans="1:16" ht="15">
      <c r="A56" s="11"/>
      <c r="B56" s="5" t="s">
        <v>356</v>
      </c>
      <c r="C56" s="7">
        <v>10999</v>
      </c>
      <c r="D56" s="3">
        <v>600000</v>
      </c>
      <c r="E56" s="3"/>
      <c r="F56" s="3"/>
      <c r="G56" s="3"/>
      <c r="H56" s="3">
        <f t="shared" si="6"/>
        <v>600000</v>
      </c>
      <c r="I56" s="3">
        <v>0</v>
      </c>
      <c r="J56" s="3">
        <v>0</v>
      </c>
      <c r="K56" s="3">
        <v>0</v>
      </c>
      <c r="L56" s="78">
        <f t="shared" si="9"/>
        <v>150000</v>
      </c>
      <c r="M56" s="3">
        <v>0</v>
      </c>
      <c r="N56" s="3">
        <v>0</v>
      </c>
      <c r="O56" s="3">
        <f t="shared" si="5"/>
        <v>600000</v>
      </c>
      <c r="P56" s="14">
        <f>+K56/H55*100</f>
        <v>0</v>
      </c>
    </row>
    <row r="57" spans="1:16" ht="15">
      <c r="A57" s="34"/>
      <c r="B57" s="5" t="s">
        <v>357</v>
      </c>
      <c r="C57" s="7">
        <v>19905</v>
      </c>
      <c r="D57" s="3">
        <v>500000</v>
      </c>
      <c r="E57" s="3"/>
      <c r="F57" s="3"/>
      <c r="G57" s="3"/>
      <c r="H57" s="3">
        <f t="shared" si="6"/>
        <v>500000</v>
      </c>
      <c r="I57" s="3">
        <v>0</v>
      </c>
      <c r="J57" s="3">
        <v>0</v>
      </c>
      <c r="K57" s="3">
        <v>0</v>
      </c>
      <c r="L57" s="78">
        <f t="shared" si="9"/>
        <v>600000</v>
      </c>
      <c r="M57" s="3">
        <v>1000000</v>
      </c>
      <c r="N57" s="3">
        <v>1000000</v>
      </c>
      <c r="O57" s="3">
        <f t="shared" si="5"/>
        <v>500000</v>
      </c>
      <c r="P57" s="14">
        <f>+K57/H56*100</f>
        <v>0</v>
      </c>
    </row>
    <row r="58" spans="1:16" ht="15">
      <c r="A58" s="11"/>
      <c r="B58" s="5" t="s">
        <v>407</v>
      </c>
      <c r="C58" s="7">
        <v>19999</v>
      </c>
      <c r="D58" s="27">
        <v>0</v>
      </c>
      <c r="E58" s="3"/>
      <c r="F58" s="3"/>
      <c r="G58" s="3"/>
      <c r="H58" s="3">
        <f t="shared" si="6"/>
        <v>0</v>
      </c>
      <c r="I58" s="3">
        <v>0</v>
      </c>
      <c r="J58" s="3">
        <v>0</v>
      </c>
      <c r="K58" s="3">
        <v>0</v>
      </c>
      <c r="L58" s="3">
        <v>280000</v>
      </c>
      <c r="M58" s="3"/>
      <c r="N58" s="3"/>
      <c r="O58" s="3">
        <f t="shared" si="5"/>
        <v>0</v>
      </c>
      <c r="P58" s="14">
        <v>0</v>
      </c>
    </row>
    <row r="59" spans="1:16" ht="17.25" customHeight="1">
      <c r="A59" s="11"/>
      <c r="B59" s="15" t="s">
        <v>358</v>
      </c>
      <c r="C59" s="16"/>
      <c r="D59" s="38">
        <f>SUM(D21:D58)</f>
        <v>563350000</v>
      </c>
      <c r="E59" s="38">
        <f>SUM(E21:E58)</f>
        <v>-7600000</v>
      </c>
      <c r="F59" s="38">
        <f>SUM(F21:F58)</f>
        <v>-4200000</v>
      </c>
      <c r="G59" s="38">
        <f>SUM(G21:G58)</f>
        <v>-60500000</v>
      </c>
      <c r="H59" s="38">
        <f>SUM(H21:H57)</f>
        <v>491050000</v>
      </c>
      <c r="I59" s="38">
        <f aca="true" t="shared" si="10" ref="I59:O59">SUM(I21:I58)</f>
        <v>47208491.25</v>
      </c>
      <c r="J59" s="38">
        <f t="shared" si="10"/>
        <v>69856947.74000001</v>
      </c>
      <c r="K59" s="38">
        <f>SUM(K21:K57)</f>
        <v>150042426.75</v>
      </c>
      <c r="L59" s="38">
        <f t="shared" si="10"/>
        <v>232522134.26</v>
      </c>
      <c r="M59" s="38">
        <f t="shared" si="10"/>
        <v>248394600</v>
      </c>
      <c r="N59" s="38">
        <f t="shared" si="10"/>
        <v>76644241.24000001</v>
      </c>
      <c r="O59" s="38">
        <f t="shared" si="10"/>
        <v>223942134.26</v>
      </c>
      <c r="P59" s="41">
        <f>+K59/H59*100</f>
        <v>30.55542750229101</v>
      </c>
    </row>
    <row r="60" spans="1:16" ht="15">
      <c r="A60" s="33" t="s">
        <v>359</v>
      </c>
      <c r="B60" s="5" t="s">
        <v>360</v>
      </c>
      <c r="C60" s="7">
        <v>20101</v>
      </c>
      <c r="D60" s="3">
        <v>12000000</v>
      </c>
      <c r="E60" s="3"/>
      <c r="F60" s="3"/>
      <c r="G60" s="3"/>
      <c r="H60" s="3">
        <f>+D60+E60</f>
        <v>12000000</v>
      </c>
      <c r="I60" s="3">
        <v>0</v>
      </c>
      <c r="J60" s="3">
        <v>2669172</v>
      </c>
      <c r="K60" s="3">
        <v>3180828</v>
      </c>
      <c r="L60" s="3">
        <v>0</v>
      </c>
      <c r="M60" s="3">
        <v>4723590</v>
      </c>
      <c r="N60" s="3">
        <v>4574869.91</v>
      </c>
      <c r="O60" s="3">
        <f>+H60-I60-J60-K60</f>
        <v>6150000</v>
      </c>
      <c r="P60" s="14">
        <f>+K60/H60*100</f>
        <v>26.5069</v>
      </c>
    </row>
    <row r="61" spans="1:16" ht="15">
      <c r="A61" s="11"/>
      <c r="B61" s="5" t="s">
        <v>361</v>
      </c>
      <c r="C61" s="7">
        <v>20102</v>
      </c>
      <c r="D61" s="3">
        <v>1000000</v>
      </c>
      <c r="E61" s="3">
        <v>500000</v>
      </c>
      <c r="F61" s="3"/>
      <c r="G61" s="3"/>
      <c r="H61" s="3">
        <f aca="true" t="shared" si="11" ref="H61:H82">+D61+E61</f>
        <v>1500000</v>
      </c>
      <c r="I61" s="3">
        <v>895000</v>
      </c>
      <c r="J61" s="3">
        <v>0.1</v>
      </c>
      <c r="K61" s="3">
        <v>417974.7</v>
      </c>
      <c r="L61" s="3">
        <v>881760</v>
      </c>
      <c r="M61" s="3">
        <v>1850000</v>
      </c>
      <c r="N61" s="3">
        <v>1800000</v>
      </c>
      <c r="O61" s="3">
        <f aca="true" t="shared" si="12" ref="O61:O82">+H61-I61-J61-K61</f>
        <v>187025.2</v>
      </c>
      <c r="P61" s="14">
        <f aca="true" t="shared" si="13" ref="P61:P82">+K61/H61*100</f>
        <v>27.86498</v>
      </c>
    </row>
    <row r="62" spans="1:16" ht="15">
      <c r="A62" s="11"/>
      <c r="B62" s="5" t="s">
        <v>362</v>
      </c>
      <c r="C62" s="7">
        <v>20104</v>
      </c>
      <c r="D62" s="3">
        <v>10000000</v>
      </c>
      <c r="E62" s="3"/>
      <c r="F62" s="3"/>
      <c r="G62" s="3"/>
      <c r="H62" s="3">
        <f t="shared" si="11"/>
        <v>10000000</v>
      </c>
      <c r="I62" s="3">
        <v>0</v>
      </c>
      <c r="J62" s="3">
        <v>49020.04</v>
      </c>
      <c r="K62" s="3">
        <v>4106069.78</v>
      </c>
      <c r="L62" s="3">
        <v>1000906.27</v>
      </c>
      <c r="M62" s="3">
        <v>5500000</v>
      </c>
      <c r="N62" s="3">
        <v>58920.85</v>
      </c>
      <c r="O62" s="3">
        <f t="shared" si="12"/>
        <v>5844910.180000002</v>
      </c>
      <c r="P62" s="14">
        <f t="shared" si="13"/>
        <v>41.06069779999999</v>
      </c>
    </row>
    <row r="63" spans="1:16" ht="15">
      <c r="A63" s="11"/>
      <c r="B63" s="5" t="s">
        <v>363</v>
      </c>
      <c r="C63" s="7">
        <v>20199</v>
      </c>
      <c r="D63" s="3">
        <v>200000</v>
      </c>
      <c r="E63" s="3"/>
      <c r="F63" s="3"/>
      <c r="G63" s="3"/>
      <c r="H63" s="3">
        <f t="shared" si="11"/>
        <v>200000</v>
      </c>
      <c r="I63" s="3">
        <v>170000</v>
      </c>
      <c r="J63" s="3">
        <v>200</v>
      </c>
      <c r="K63" s="3">
        <v>29800</v>
      </c>
      <c r="L63" s="3">
        <v>2000.8</v>
      </c>
      <c r="M63" s="3">
        <v>0</v>
      </c>
      <c r="N63" s="3">
        <v>-1863.45</v>
      </c>
      <c r="O63" s="3">
        <f t="shared" si="12"/>
        <v>0</v>
      </c>
      <c r="P63" s="14">
        <f t="shared" si="13"/>
        <v>14.899999999999999</v>
      </c>
    </row>
    <row r="64" spans="1:16" ht="15">
      <c r="A64" s="11"/>
      <c r="B64" s="5" t="s">
        <v>364</v>
      </c>
      <c r="C64" s="7">
        <v>20202</v>
      </c>
      <c r="D64" s="3">
        <v>0</v>
      </c>
      <c r="E64" s="3"/>
      <c r="F64" s="3"/>
      <c r="G64" s="3"/>
      <c r="H64" s="3">
        <f t="shared" si="11"/>
        <v>0</v>
      </c>
      <c r="I64" s="3">
        <v>0</v>
      </c>
      <c r="J64" s="3">
        <v>0</v>
      </c>
      <c r="K64" s="3">
        <v>0</v>
      </c>
      <c r="L64" s="3">
        <v>500</v>
      </c>
      <c r="M64" s="3">
        <v>100000</v>
      </c>
      <c r="N64" s="3">
        <v>100000</v>
      </c>
      <c r="O64" s="3">
        <f t="shared" si="12"/>
        <v>0</v>
      </c>
      <c r="P64" s="14">
        <v>0</v>
      </c>
    </row>
    <row r="65" spans="1:16" ht="15">
      <c r="A65" s="11"/>
      <c r="B65" s="5" t="s">
        <v>365</v>
      </c>
      <c r="C65" s="7">
        <v>20203</v>
      </c>
      <c r="D65" s="3">
        <v>1700000</v>
      </c>
      <c r="E65" s="3"/>
      <c r="F65" s="3"/>
      <c r="G65" s="3"/>
      <c r="H65" s="3">
        <f t="shared" si="11"/>
        <v>1700000</v>
      </c>
      <c r="I65" s="3">
        <v>0</v>
      </c>
      <c r="J65" s="3">
        <v>57692.8</v>
      </c>
      <c r="K65" s="3">
        <v>762910.2</v>
      </c>
      <c r="L65" s="3">
        <v>25097.24</v>
      </c>
      <c r="M65" s="3">
        <v>800000</v>
      </c>
      <c r="N65" s="3">
        <v>0</v>
      </c>
      <c r="O65" s="3">
        <f t="shared" si="12"/>
        <v>879397</v>
      </c>
      <c r="P65" s="14">
        <f t="shared" si="13"/>
        <v>44.87707058823529</v>
      </c>
    </row>
    <row r="66" spans="1:16" ht="15">
      <c r="A66" s="11"/>
      <c r="B66" s="5" t="s">
        <v>366</v>
      </c>
      <c r="C66" s="7">
        <v>20301</v>
      </c>
      <c r="D66" s="3">
        <v>200000</v>
      </c>
      <c r="E66" s="3"/>
      <c r="F66" s="3"/>
      <c r="G66" s="3"/>
      <c r="H66" s="3">
        <f t="shared" si="11"/>
        <v>200000</v>
      </c>
      <c r="I66" s="3">
        <v>0</v>
      </c>
      <c r="J66" s="3">
        <v>28865.25</v>
      </c>
      <c r="K66" s="3">
        <v>101134.75</v>
      </c>
      <c r="L66" s="3">
        <v>0</v>
      </c>
      <c r="M66" s="3">
        <v>1350000</v>
      </c>
      <c r="N66" s="3">
        <v>1290821.9</v>
      </c>
      <c r="O66" s="3">
        <f t="shared" si="12"/>
        <v>70000</v>
      </c>
      <c r="P66" s="14">
        <f t="shared" si="13"/>
        <v>50.567375000000006</v>
      </c>
    </row>
    <row r="67" spans="1:16" ht="15">
      <c r="A67" s="11"/>
      <c r="B67" s="5" t="s">
        <v>367</v>
      </c>
      <c r="C67" s="7">
        <v>20302</v>
      </c>
      <c r="D67" s="3">
        <v>200000</v>
      </c>
      <c r="E67" s="3"/>
      <c r="F67" s="3"/>
      <c r="G67" s="3"/>
      <c r="H67" s="3">
        <f t="shared" si="11"/>
        <v>200000</v>
      </c>
      <c r="I67" s="3">
        <v>0</v>
      </c>
      <c r="J67" s="3">
        <v>452.55</v>
      </c>
      <c r="K67" s="3">
        <v>9547.45</v>
      </c>
      <c r="L67" s="3">
        <v>4350</v>
      </c>
      <c r="M67" s="3"/>
      <c r="N67" s="3"/>
      <c r="O67" s="3">
        <f t="shared" si="12"/>
        <v>190000</v>
      </c>
      <c r="P67" s="14">
        <f t="shared" si="13"/>
        <v>4.773725</v>
      </c>
    </row>
    <row r="68" spans="1:16" ht="15">
      <c r="A68" s="11"/>
      <c r="B68" s="5" t="s">
        <v>368</v>
      </c>
      <c r="C68" s="7">
        <v>20303</v>
      </c>
      <c r="D68" s="3">
        <v>150000</v>
      </c>
      <c r="E68" s="3"/>
      <c r="F68" s="3"/>
      <c r="G68" s="3"/>
      <c r="H68" s="3">
        <f t="shared" si="11"/>
        <v>150000</v>
      </c>
      <c r="I68" s="3">
        <v>0</v>
      </c>
      <c r="J68" s="3">
        <v>16700</v>
      </c>
      <c r="K68" s="3">
        <v>23300</v>
      </c>
      <c r="L68" s="3">
        <v>300</v>
      </c>
      <c r="M68" s="3">
        <v>200000</v>
      </c>
      <c r="N68" s="3">
        <v>200000</v>
      </c>
      <c r="O68" s="3">
        <f t="shared" si="12"/>
        <v>110000</v>
      </c>
      <c r="P68" s="14">
        <f t="shared" si="13"/>
        <v>15.533333333333331</v>
      </c>
    </row>
    <row r="69" spans="1:16" ht="30">
      <c r="A69" s="11"/>
      <c r="B69" s="5" t="s">
        <v>369</v>
      </c>
      <c r="C69" s="7">
        <v>20304</v>
      </c>
      <c r="D69" s="3">
        <v>4200000</v>
      </c>
      <c r="E69" s="3"/>
      <c r="F69" s="3"/>
      <c r="G69" s="3"/>
      <c r="H69" s="3">
        <f t="shared" si="11"/>
        <v>4200000</v>
      </c>
      <c r="I69" s="3">
        <v>80000</v>
      </c>
      <c r="J69" s="3">
        <v>12374.56</v>
      </c>
      <c r="K69" s="3">
        <v>387625.44</v>
      </c>
      <c r="L69" s="3">
        <v>0</v>
      </c>
      <c r="M69" s="3">
        <v>2000000</v>
      </c>
      <c r="N69" s="3">
        <v>1851750.21</v>
      </c>
      <c r="O69" s="3">
        <f t="shared" si="12"/>
        <v>3720000</v>
      </c>
      <c r="P69" s="14">
        <f t="shared" si="13"/>
        <v>9.229177142857143</v>
      </c>
    </row>
    <row r="70" spans="1:16" ht="15">
      <c r="A70" s="11"/>
      <c r="B70" s="5" t="s">
        <v>370</v>
      </c>
      <c r="C70" s="7">
        <v>20305</v>
      </c>
      <c r="D70" s="3">
        <v>50000</v>
      </c>
      <c r="E70" s="3"/>
      <c r="F70" s="3"/>
      <c r="G70" s="3"/>
      <c r="H70" s="3">
        <f t="shared" si="11"/>
        <v>50000</v>
      </c>
      <c r="I70" s="3">
        <v>0</v>
      </c>
      <c r="J70" s="3">
        <v>0</v>
      </c>
      <c r="K70" s="3">
        <v>0</v>
      </c>
      <c r="L70" s="3">
        <v>18000</v>
      </c>
      <c r="M70" s="3">
        <v>160000</v>
      </c>
      <c r="N70" s="3">
        <v>97404.9</v>
      </c>
      <c r="O70" s="3">
        <f t="shared" si="12"/>
        <v>50000</v>
      </c>
      <c r="P70" s="14">
        <f t="shared" si="13"/>
        <v>0</v>
      </c>
    </row>
    <row r="71" spans="1:16" ht="15">
      <c r="A71" s="11"/>
      <c r="B71" s="5" t="s">
        <v>371</v>
      </c>
      <c r="C71" s="7">
        <v>20306</v>
      </c>
      <c r="D71" s="3">
        <v>700000</v>
      </c>
      <c r="E71" s="3"/>
      <c r="F71" s="3"/>
      <c r="G71" s="3"/>
      <c r="H71" s="3">
        <f t="shared" si="11"/>
        <v>700000</v>
      </c>
      <c r="I71" s="3">
        <v>0</v>
      </c>
      <c r="J71" s="3">
        <v>37125</v>
      </c>
      <c r="K71" s="3">
        <v>62875</v>
      </c>
      <c r="L71" s="3">
        <v>100000</v>
      </c>
      <c r="M71" s="3">
        <v>185000</v>
      </c>
      <c r="N71" s="3">
        <v>0</v>
      </c>
      <c r="O71" s="3">
        <f t="shared" si="12"/>
        <v>600000</v>
      </c>
      <c r="P71" s="14">
        <f t="shared" si="13"/>
        <v>8.982142857142856</v>
      </c>
    </row>
    <row r="72" spans="1:16" ht="30">
      <c r="A72" s="11"/>
      <c r="B72" s="5" t="s">
        <v>372</v>
      </c>
      <c r="C72" s="7">
        <v>20399</v>
      </c>
      <c r="D72" s="3">
        <v>600000</v>
      </c>
      <c r="E72" s="3"/>
      <c r="F72" s="3"/>
      <c r="G72" s="3"/>
      <c r="H72" s="3">
        <f t="shared" si="11"/>
        <v>600000</v>
      </c>
      <c r="I72" s="3">
        <v>0</v>
      </c>
      <c r="J72" s="3">
        <v>11940</v>
      </c>
      <c r="K72" s="3">
        <v>48060</v>
      </c>
      <c r="L72" s="3">
        <v>844.04</v>
      </c>
      <c r="M72" s="3">
        <v>500000</v>
      </c>
      <c r="N72" s="3">
        <v>424002</v>
      </c>
      <c r="O72" s="3">
        <f t="shared" si="12"/>
        <v>540000</v>
      </c>
      <c r="P72" s="14">
        <f t="shared" si="13"/>
        <v>8.01</v>
      </c>
    </row>
    <row r="73" spans="1:16" ht="15">
      <c r="A73" s="11"/>
      <c r="B73" s="5" t="s">
        <v>402</v>
      </c>
      <c r="C73" s="7">
        <v>20401</v>
      </c>
      <c r="D73" s="3">
        <v>1000000</v>
      </c>
      <c r="E73" s="3">
        <v>650000</v>
      </c>
      <c r="F73" s="3"/>
      <c r="G73" s="3"/>
      <c r="H73" s="3">
        <f t="shared" si="11"/>
        <v>1650000</v>
      </c>
      <c r="I73" s="3">
        <v>650000</v>
      </c>
      <c r="J73" s="3">
        <v>6951</v>
      </c>
      <c r="K73" s="3">
        <v>43049</v>
      </c>
      <c r="L73" s="3">
        <v>2833.93</v>
      </c>
      <c r="M73" s="3">
        <v>165000</v>
      </c>
      <c r="N73" s="3">
        <v>161219.45</v>
      </c>
      <c r="O73" s="3">
        <f t="shared" si="12"/>
        <v>950000</v>
      </c>
      <c r="P73" s="14">
        <f t="shared" si="13"/>
        <v>2.609030303030303</v>
      </c>
    </row>
    <row r="74" spans="1:16" ht="15">
      <c r="A74" s="11"/>
      <c r="B74" s="5" t="s">
        <v>373</v>
      </c>
      <c r="C74" s="7">
        <v>20402</v>
      </c>
      <c r="D74" s="3">
        <v>2000000</v>
      </c>
      <c r="E74" s="3"/>
      <c r="F74" s="3"/>
      <c r="G74" s="3"/>
      <c r="H74" s="3">
        <f t="shared" si="11"/>
        <v>2000000</v>
      </c>
      <c r="I74" s="3">
        <v>0</v>
      </c>
      <c r="J74" s="3">
        <v>68301.81</v>
      </c>
      <c r="K74" s="3">
        <v>181698.19</v>
      </c>
      <c r="L74" s="3">
        <v>4228.58</v>
      </c>
      <c r="M74" s="3">
        <v>3000000</v>
      </c>
      <c r="N74" s="3">
        <v>752337.44</v>
      </c>
      <c r="O74" s="3">
        <f t="shared" si="12"/>
        <v>1750000</v>
      </c>
      <c r="P74" s="14">
        <f t="shared" si="13"/>
        <v>9.0849095</v>
      </c>
    </row>
    <row r="75" spans="1:16" ht="15">
      <c r="A75" s="11"/>
      <c r="B75" s="5" t="s">
        <v>374</v>
      </c>
      <c r="C75" s="7">
        <v>29901</v>
      </c>
      <c r="D75" s="3">
        <v>2000000</v>
      </c>
      <c r="E75" s="3"/>
      <c r="F75" s="3"/>
      <c r="G75" s="3"/>
      <c r="H75" s="3">
        <f t="shared" si="11"/>
        <v>2000000</v>
      </c>
      <c r="I75" s="3">
        <v>0</v>
      </c>
      <c r="J75" s="3">
        <v>5330.78</v>
      </c>
      <c r="K75" s="3">
        <v>930174.93</v>
      </c>
      <c r="L75" s="3">
        <v>6117.4</v>
      </c>
      <c r="M75" s="3">
        <v>1450000</v>
      </c>
      <c r="N75" s="3">
        <v>0</v>
      </c>
      <c r="O75" s="3">
        <f t="shared" si="12"/>
        <v>1064494.29</v>
      </c>
      <c r="P75" s="14">
        <f t="shared" si="13"/>
        <v>46.5087465</v>
      </c>
    </row>
    <row r="76" spans="1:16" ht="15">
      <c r="A76" s="11"/>
      <c r="B76" s="5" t="s">
        <v>375</v>
      </c>
      <c r="C76" s="7">
        <v>29902</v>
      </c>
      <c r="D76" s="3">
        <v>350000</v>
      </c>
      <c r="E76" s="3"/>
      <c r="F76" s="3"/>
      <c r="G76" s="3"/>
      <c r="H76" s="3">
        <f t="shared" si="11"/>
        <v>350000</v>
      </c>
      <c r="I76" s="3">
        <v>0</v>
      </c>
      <c r="J76" s="3">
        <v>224592.88</v>
      </c>
      <c r="K76" s="3">
        <v>0</v>
      </c>
      <c r="L76" s="3">
        <v>0</v>
      </c>
      <c r="M76" s="3">
        <v>275000</v>
      </c>
      <c r="N76" s="3">
        <v>275000</v>
      </c>
      <c r="O76" s="3">
        <f t="shared" si="12"/>
        <v>125407.12</v>
      </c>
      <c r="P76" s="14">
        <f t="shared" si="13"/>
        <v>0</v>
      </c>
    </row>
    <row r="77" spans="1:16" ht="15">
      <c r="A77" s="11"/>
      <c r="B77" s="5" t="s">
        <v>376</v>
      </c>
      <c r="C77" s="7">
        <v>29903</v>
      </c>
      <c r="D77" s="3">
        <v>7000000</v>
      </c>
      <c r="E77" s="3"/>
      <c r="F77" s="3"/>
      <c r="G77" s="3"/>
      <c r="H77" s="3">
        <f t="shared" si="11"/>
        <v>7000000</v>
      </c>
      <c r="I77" s="3">
        <v>0.1</v>
      </c>
      <c r="J77" s="3">
        <v>4589675.08</v>
      </c>
      <c r="K77" s="3">
        <v>1881475.29</v>
      </c>
      <c r="L77" s="3">
        <v>7900.22</v>
      </c>
      <c r="M77" s="3">
        <v>9690000</v>
      </c>
      <c r="N77" s="3">
        <v>5905506.12</v>
      </c>
      <c r="O77" s="3">
        <f t="shared" si="12"/>
        <v>528849.5300000003</v>
      </c>
      <c r="P77" s="14">
        <f t="shared" si="13"/>
        <v>26.878218428571426</v>
      </c>
    </row>
    <row r="78" spans="1:16" ht="15">
      <c r="A78" s="11"/>
      <c r="B78" s="5" t="s">
        <v>377</v>
      </c>
      <c r="C78" s="7">
        <v>29904</v>
      </c>
      <c r="D78" s="3">
        <v>1350000</v>
      </c>
      <c r="E78" s="3">
        <v>950000</v>
      </c>
      <c r="F78" s="3"/>
      <c r="G78" s="3"/>
      <c r="H78" s="3">
        <f t="shared" si="11"/>
        <v>2300000</v>
      </c>
      <c r="I78" s="3">
        <v>1042000</v>
      </c>
      <c r="J78" s="3">
        <v>214310</v>
      </c>
      <c r="K78" s="3">
        <v>452890</v>
      </c>
      <c r="L78" s="3">
        <v>153162.75</v>
      </c>
      <c r="M78" s="3">
        <v>500000</v>
      </c>
      <c r="N78" s="3">
        <v>430602.7</v>
      </c>
      <c r="O78" s="3">
        <f t="shared" si="12"/>
        <v>590800</v>
      </c>
      <c r="P78" s="14">
        <f t="shared" si="13"/>
        <v>19.69086956521739</v>
      </c>
    </row>
    <row r="79" spans="1:16" ht="15">
      <c r="A79" s="11"/>
      <c r="B79" s="5" t="s">
        <v>378</v>
      </c>
      <c r="C79" s="7">
        <v>29905</v>
      </c>
      <c r="D79" s="3">
        <v>1000000</v>
      </c>
      <c r="E79" s="3"/>
      <c r="F79" s="3"/>
      <c r="G79" s="3"/>
      <c r="H79" s="3">
        <f t="shared" si="11"/>
        <v>1000000</v>
      </c>
      <c r="I79" s="3">
        <v>950000</v>
      </c>
      <c r="J79" s="3">
        <v>29225</v>
      </c>
      <c r="K79" s="3">
        <v>20775</v>
      </c>
      <c r="L79" s="3">
        <v>20000</v>
      </c>
      <c r="M79" s="3">
        <v>1746000</v>
      </c>
      <c r="N79" s="3">
        <v>1595468.6</v>
      </c>
      <c r="O79" s="3">
        <f t="shared" si="12"/>
        <v>0</v>
      </c>
      <c r="P79" s="14">
        <f t="shared" si="13"/>
        <v>2.0774999999999997</v>
      </c>
    </row>
    <row r="80" spans="1:16" ht="15">
      <c r="A80" s="11"/>
      <c r="B80" s="5" t="s">
        <v>405</v>
      </c>
      <c r="C80" s="7">
        <v>29906</v>
      </c>
      <c r="D80" s="3">
        <v>200000</v>
      </c>
      <c r="E80" s="3"/>
      <c r="F80" s="3"/>
      <c r="G80" s="3"/>
      <c r="H80" s="3">
        <f t="shared" si="11"/>
        <v>200000</v>
      </c>
      <c r="I80" s="3">
        <v>0</v>
      </c>
      <c r="J80" s="3">
        <v>4462.5</v>
      </c>
      <c r="K80" s="3">
        <v>124637.5</v>
      </c>
      <c r="L80" s="3">
        <v>0</v>
      </c>
      <c r="M80" s="3"/>
      <c r="N80" s="3"/>
      <c r="O80" s="3">
        <f t="shared" si="12"/>
        <v>70900</v>
      </c>
      <c r="P80" s="14">
        <f t="shared" si="13"/>
        <v>62.31875</v>
      </c>
    </row>
    <row r="81" spans="1:16" ht="15">
      <c r="A81" s="11"/>
      <c r="B81" s="5" t="s">
        <v>379</v>
      </c>
      <c r="C81" s="7">
        <v>29907</v>
      </c>
      <c r="D81" s="3">
        <v>300000</v>
      </c>
      <c r="E81" s="3"/>
      <c r="F81" s="3"/>
      <c r="G81" s="3"/>
      <c r="H81" s="3">
        <f t="shared" si="11"/>
        <v>300000</v>
      </c>
      <c r="I81" s="3">
        <v>300000</v>
      </c>
      <c r="J81" s="3">
        <v>0</v>
      </c>
      <c r="K81" s="3">
        <v>0</v>
      </c>
      <c r="L81" s="3">
        <v>0</v>
      </c>
      <c r="M81" s="3">
        <v>100000</v>
      </c>
      <c r="N81" s="3">
        <v>95000</v>
      </c>
      <c r="O81" s="3">
        <f t="shared" si="12"/>
        <v>0</v>
      </c>
      <c r="P81" s="14">
        <f t="shared" si="13"/>
        <v>0</v>
      </c>
    </row>
    <row r="82" spans="1:16" ht="13.5" customHeight="1">
      <c r="A82" s="34"/>
      <c r="B82" s="5" t="s">
        <v>380</v>
      </c>
      <c r="C82" s="7">
        <v>29999</v>
      </c>
      <c r="D82" s="3">
        <v>200000</v>
      </c>
      <c r="E82" s="3"/>
      <c r="F82" s="3"/>
      <c r="G82" s="3"/>
      <c r="H82" s="3">
        <f t="shared" si="11"/>
        <v>200000</v>
      </c>
      <c r="I82" s="3">
        <v>0</v>
      </c>
      <c r="J82" s="3">
        <v>26010</v>
      </c>
      <c r="K82" s="3">
        <v>68990</v>
      </c>
      <c r="L82" s="3">
        <v>600103.02</v>
      </c>
      <c r="M82" s="3">
        <v>165000</v>
      </c>
      <c r="N82" s="3">
        <v>165000</v>
      </c>
      <c r="O82" s="3">
        <f t="shared" si="12"/>
        <v>105000</v>
      </c>
      <c r="P82" s="14">
        <f t="shared" si="13"/>
        <v>34.495</v>
      </c>
    </row>
    <row r="83" spans="1:16" ht="21">
      <c r="A83" s="11"/>
      <c r="B83" s="19" t="s">
        <v>381</v>
      </c>
      <c r="C83" s="20"/>
      <c r="D83" s="39">
        <f>SUM(D60:D82)</f>
        <v>46400000</v>
      </c>
      <c r="E83" s="39">
        <f>SUM(E60:E82)</f>
        <v>2100000</v>
      </c>
      <c r="F83" s="39">
        <f>SUM(F60:F82)</f>
        <v>0</v>
      </c>
      <c r="G83" s="39"/>
      <c r="H83" s="39">
        <f aca="true" t="shared" si="14" ref="H83:O83">SUM(H60:H82)</f>
        <v>48500000</v>
      </c>
      <c r="I83" s="39">
        <f t="shared" si="14"/>
        <v>4087000.1</v>
      </c>
      <c r="J83" s="39">
        <f t="shared" si="14"/>
        <v>8052401.35</v>
      </c>
      <c r="K83" s="39">
        <f>SUM(K60:K82)</f>
        <v>12833815.229999997</v>
      </c>
      <c r="L83" s="39">
        <f t="shared" si="14"/>
        <v>2828104.25</v>
      </c>
      <c r="M83" s="39">
        <f t="shared" si="14"/>
        <v>34459590</v>
      </c>
      <c r="N83" s="39">
        <f t="shared" si="14"/>
        <v>19776040.63</v>
      </c>
      <c r="O83" s="39">
        <f t="shared" si="14"/>
        <v>23526783.320000004</v>
      </c>
      <c r="P83" s="41">
        <f>+K83/H83*100</f>
        <v>26.461474701030923</v>
      </c>
    </row>
    <row r="84" spans="1:16" ht="15">
      <c r="A84" s="11"/>
      <c r="B84" s="6" t="s">
        <v>382</v>
      </c>
      <c r="C84" s="7">
        <v>50102</v>
      </c>
      <c r="D84" s="3">
        <v>50000000</v>
      </c>
      <c r="E84" s="3">
        <v>5000000</v>
      </c>
      <c r="F84" s="3"/>
      <c r="G84" s="3"/>
      <c r="H84" s="3">
        <f>+D84+E84+F84+G84</f>
        <v>55000000</v>
      </c>
      <c r="I84" s="3">
        <f>24791084+5000000</f>
        <v>29791084</v>
      </c>
      <c r="J84" s="3">
        <v>25208916</v>
      </c>
      <c r="K84" s="3"/>
      <c r="L84" s="3"/>
      <c r="M84" s="3"/>
      <c r="N84" s="3"/>
      <c r="O84" s="3">
        <f>+H84-I84-J84-K84</f>
        <v>0</v>
      </c>
      <c r="P84" s="14" t="s">
        <v>309</v>
      </c>
    </row>
    <row r="85" spans="1:16" ht="16.5" customHeight="1">
      <c r="A85" s="11"/>
      <c r="B85" s="6" t="s">
        <v>383</v>
      </c>
      <c r="C85" s="7">
        <v>50103</v>
      </c>
      <c r="D85" s="3">
        <v>2000000</v>
      </c>
      <c r="E85" s="3">
        <v>500000</v>
      </c>
      <c r="F85" s="3">
        <v>500000</v>
      </c>
      <c r="G85" s="3"/>
      <c r="H85" s="3">
        <f aca="true" t="shared" si="15" ref="H85:H92">+D85+E85+F85+G85</f>
        <v>3000000</v>
      </c>
      <c r="I85" s="3">
        <v>400000</v>
      </c>
      <c r="J85" s="3">
        <v>0</v>
      </c>
      <c r="K85" s="3">
        <v>30500.21</v>
      </c>
      <c r="L85" s="3">
        <v>301341.48</v>
      </c>
      <c r="M85" s="3"/>
      <c r="N85" s="3"/>
      <c r="O85" s="3">
        <f aca="true" t="shared" si="16" ref="O85:O92">+H85-I85-J85-K85</f>
        <v>2569499.79</v>
      </c>
      <c r="P85" s="14">
        <f>+K85/H85*100</f>
        <v>1.0166736666666667</v>
      </c>
    </row>
    <row r="86" spans="1:16" ht="16.5" customHeight="1">
      <c r="A86" s="11"/>
      <c r="B86" s="6" t="s">
        <v>385</v>
      </c>
      <c r="C86" s="7">
        <v>50104</v>
      </c>
      <c r="D86" s="3">
        <v>25500000</v>
      </c>
      <c r="E86" s="3"/>
      <c r="F86" s="3">
        <v>1000000</v>
      </c>
      <c r="G86" s="3">
        <v>11500000</v>
      </c>
      <c r="H86" s="3">
        <f t="shared" si="15"/>
        <v>38000000</v>
      </c>
      <c r="I86" s="3">
        <f>24895185+1000000</f>
        <v>25895185</v>
      </c>
      <c r="J86" s="3">
        <v>78000</v>
      </c>
      <c r="K86" s="3">
        <v>526815</v>
      </c>
      <c r="L86" s="3">
        <v>88239.65</v>
      </c>
      <c r="M86" s="3"/>
      <c r="N86" s="3"/>
      <c r="O86" s="3">
        <f t="shared" si="16"/>
        <v>11500000</v>
      </c>
      <c r="P86" s="14">
        <f aca="true" t="shared" si="17" ref="P86:P92">+K86/H86*100</f>
        <v>1.3863552631578946</v>
      </c>
    </row>
    <row r="87" spans="1:16" ht="15">
      <c r="A87" s="29" t="s">
        <v>384</v>
      </c>
      <c r="B87" s="6" t="s">
        <v>386</v>
      </c>
      <c r="C87" s="7">
        <v>50105</v>
      </c>
      <c r="D87" s="3">
        <v>55200000</v>
      </c>
      <c r="E87" s="3"/>
      <c r="F87" s="3">
        <v>2000000</v>
      </c>
      <c r="G87" s="3">
        <v>49189534.15</v>
      </c>
      <c r="H87" s="3">
        <f t="shared" si="15"/>
        <v>106389534.15</v>
      </c>
      <c r="I87" s="3"/>
      <c r="J87" s="3">
        <v>42779774.06</v>
      </c>
      <c r="K87" s="3">
        <v>7315571.55</v>
      </c>
      <c r="L87" s="3">
        <v>519994.06</v>
      </c>
      <c r="M87" s="3">
        <v>15000000</v>
      </c>
      <c r="N87" s="3">
        <v>14900000</v>
      </c>
      <c r="O87" s="3">
        <f t="shared" si="16"/>
        <v>56294188.54000001</v>
      </c>
      <c r="P87" s="14">
        <f t="shared" si="17"/>
        <v>6.8762135377768265</v>
      </c>
    </row>
    <row r="88" spans="1:16" ht="28.5" customHeight="1">
      <c r="A88" s="12"/>
      <c r="B88" s="6" t="s">
        <v>387</v>
      </c>
      <c r="C88" s="7">
        <v>50106</v>
      </c>
      <c r="D88" s="3">
        <v>500000</v>
      </c>
      <c r="E88" s="3"/>
      <c r="F88" s="3"/>
      <c r="G88" s="3"/>
      <c r="H88" s="3">
        <f t="shared" si="15"/>
        <v>500000</v>
      </c>
      <c r="I88" s="3">
        <v>0</v>
      </c>
      <c r="J88" s="3">
        <v>0</v>
      </c>
      <c r="K88" s="3">
        <v>0</v>
      </c>
      <c r="L88" s="3">
        <v>340990.7</v>
      </c>
      <c r="M88" s="3">
        <v>12000000</v>
      </c>
      <c r="N88" s="3">
        <v>11650000</v>
      </c>
      <c r="O88" s="3">
        <f t="shared" si="16"/>
        <v>500000</v>
      </c>
      <c r="P88" s="14">
        <f t="shared" si="17"/>
        <v>0</v>
      </c>
    </row>
    <row r="89" spans="1:16" ht="25.5" customHeight="1">
      <c r="A89" s="12"/>
      <c r="B89" s="6" t="s">
        <v>403</v>
      </c>
      <c r="C89" s="7">
        <v>50199</v>
      </c>
      <c r="D89" s="3">
        <v>3351000</v>
      </c>
      <c r="E89" s="3"/>
      <c r="F89" s="3"/>
      <c r="G89" s="3"/>
      <c r="H89" s="3">
        <f t="shared" si="15"/>
        <v>3351000</v>
      </c>
      <c r="I89" s="3">
        <v>225000</v>
      </c>
      <c r="J89" s="3">
        <v>0</v>
      </c>
      <c r="K89" s="3">
        <v>0</v>
      </c>
      <c r="L89" s="3">
        <v>432044.64</v>
      </c>
      <c r="M89" s="3"/>
      <c r="N89" s="3"/>
      <c r="O89" s="3">
        <f t="shared" si="16"/>
        <v>3126000</v>
      </c>
      <c r="P89" s="14">
        <f t="shared" si="17"/>
        <v>0</v>
      </c>
    </row>
    <row r="90" spans="1:16" ht="25.5" customHeight="1">
      <c r="A90" s="12"/>
      <c r="B90" s="6" t="s">
        <v>411</v>
      </c>
      <c r="C90" s="7">
        <v>50201</v>
      </c>
      <c r="D90" s="3">
        <v>30000000</v>
      </c>
      <c r="E90" s="3"/>
      <c r="F90" s="3"/>
      <c r="G90" s="3"/>
      <c r="H90" s="3">
        <f t="shared" si="15"/>
        <v>30000000</v>
      </c>
      <c r="I90" s="3">
        <v>30000000</v>
      </c>
      <c r="J90" s="3"/>
      <c r="K90" s="3"/>
      <c r="L90" s="3"/>
      <c r="M90" s="3"/>
      <c r="N90" s="3"/>
      <c r="O90" s="3">
        <f t="shared" si="16"/>
        <v>0</v>
      </c>
      <c r="P90" s="14">
        <f t="shared" si="17"/>
        <v>0</v>
      </c>
    </row>
    <row r="91" spans="1:16" ht="25.5" customHeight="1">
      <c r="A91" s="12"/>
      <c r="B91" s="6" t="s">
        <v>579</v>
      </c>
      <c r="C91" s="7">
        <v>50207</v>
      </c>
      <c r="D91" s="3">
        <v>45000000</v>
      </c>
      <c r="E91" s="3"/>
      <c r="F91" s="3"/>
      <c r="G91" s="3"/>
      <c r="H91" s="3">
        <f t="shared" si="15"/>
        <v>45000000</v>
      </c>
      <c r="I91" s="3">
        <v>8951212.16</v>
      </c>
      <c r="J91" s="3">
        <v>29048787.84</v>
      </c>
      <c r="K91" s="3"/>
      <c r="L91" s="3"/>
      <c r="M91" s="3"/>
      <c r="N91" s="3"/>
      <c r="O91" s="3">
        <f t="shared" si="16"/>
        <v>7000000.000000004</v>
      </c>
      <c r="P91" s="14"/>
    </row>
    <row r="92" spans="1:16" ht="29.25" customHeight="1">
      <c r="A92" s="13"/>
      <c r="B92" s="6" t="s">
        <v>388</v>
      </c>
      <c r="C92" s="7">
        <v>59903</v>
      </c>
      <c r="D92" s="3">
        <v>7000000</v>
      </c>
      <c r="E92" s="3"/>
      <c r="F92" s="3"/>
      <c r="G92" s="3"/>
      <c r="H92" s="3">
        <f t="shared" si="15"/>
        <v>7000000</v>
      </c>
      <c r="I92" s="3">
        <v>0</v>
      </c>
      <c r="J92" s="3">
        <v>0</v>
      </c>
      <c r="K92" s="3">
        <v>0</v>
      </c>
      <c r="L92" s="3">
        <v>1000</v>
      </c>
      <c r="M92" s="3">
        <v>12000000</v>
      </c>
      <c r="N92" s="3">
        <v>12000000</v>
      </c>
      <c r="O92" s="3">
        <f t="shared" si="16"/>
        <v>7000000</v>
      </c>
      <c r="P92" s="14">
        <f t="shared" si="17"/>
        <v>0</v>
      </c>
    </row>
    <row r="93" spans="1:16" ht="21">
      <c r="A93" s="12"/>
      <c r="B93" s="22" t="s">
        <v>389</v>
      </c>
      <c r="C93" s="23"/>
      <c r="D93" s="40">
        <f>SUM(D84:D92)</f>
        <v>218551000</v>
      </c>
      <c r="E93" s="40">
        <f>SUM(E84:E92)</f>
        <v>5500000</v>
      </c>
      <c r="F93" s="40">
        <f>SUM(F84:F92)</f>
        <v>3500000</v>
      </c>
      <c r="G93" s="40">
        <f>SUM(G84:G92)</f>
        <v>60689534.15</v>
      </c>
      <c r="H93" s="40">
        <f aca="true" t="shared" si="18" ref="H93:O93">SUM(H84:H92)</f>
        <v>288240534.15</v>
      </c>
      <c r="I93" s="40">
        <f t="shared" si="18"/>
        <v>95262481.16</v>
      </c>
      <c r="J93" s="40">
        <f t="shared" si="18"/>
        <v>97115477.9</v>
      </c>
      <c r="K93" s="40">
        <f t="shared" si="18"/>
        <v>7872886.76</v>
      </c>
      <c r="L93" s="40">
        <f t="shared" si="18"/>
        <v>1683610.5299999998</v>
      </c>
      <c r="M93" s="40">
        <f t="shared" si="18"/>
        <v>39000000</v>
      </c>
      <c r="N93" s="40">
        <f t="shared" si="18"/>
        <v>38550000</v>
      </c>
      <c r="O93" s="40">
        <f t="shared" si="18"/>
        <v>87989688.33000001</v>
      </c>
      <c r="P93" s="41">
        <f>+K93/H93*100</f>
        <v>2.7313600369276863</v>
      </c>
    </row>
    <row r="94" spans="1:16" ht="30">
      <c r="A94" s="29" t="s">
        <v>390</v>
      </c>
      <c r="B94" s="5" t="s">
        <v>391</v>
      </c>
      <c r="C94" s="7">
        <v>60103</v>
      </c>
      <c r="D94" s="3">
        <v>23133000</v>
      </c>
      <c r="E94" s="3"/>
      <c r="F94" s="3">
        <v>10000000</v>
      </c>
      <c r="G94" s="3">
        <v>10000000</v>
      </c>
      <c r="H94" s="3">
        <f>+D94+E94+F94+G94</f>
        <v>43133000</v>
      </c>
      <c r="I94" s="3">
        <v>0</v>
      </c>
      <c r="J94" s="3">
        <v>11117292.29</v>
      </c>
      <c r="K94" s="3">
        <v>22015707.71</v>
      </c>
      <c r="L94" s="3">
        <v>0</v>
      </c>
      <c r="M94" s="3"/>
      <c r="N94" s="3"/>
      <c r="O94" s="3">
        <f>+H94-I94-J94-K94</f>
        <v>10000000</v>
      </c>
      <c r="P94" s="14">
        <f>+K94/H94*100</f>
        <v>51.041447870539955</v>
      </c>
    </row>
    <row r="95" spans="1:16" ht="30">
      <c r="A95" s="12"/>
      <c r="B95" s="5" t="s">
        <v>392</v>
      </c>
      <c r="C95" s="7">
        <v>60103</v>
      </c>
      <c r="D95" s="3">
        <v>9971000</v>
      </c>
      <c r="E95" s="3"/>
      <c r="F95" s="3"/>
      <c r="G95" s="3"/>
      <c r="H95" s="3">
        <f aca="true" t="shared" si="19" ref="H95:H102">+D95+E95+F95+G95</f>
        <v>9971000</v>
      </c>
      <c r="I95" s="3">
        <v>0</v>
      </c>
      <c r="J95" s="3">
        <v>5871582.97</v>
      </c>
      <c r="K95" s="3">
        <v>4099417.03</v>
      </c>
      <c r="L95" s="3">
        <v>0</v>
      </c>
      <c r="M95" s="3"/>
      <c r="N95" s="3"/>
      <c r="O95" s="3">
        <f aca="true" t="shared" si="20" ref="O95:O102">+H95-I95-J95-K95</f>
        <v>0</v>
      </c>
      <c r="P95" s="14">
        <f aca="true" t="shared" si="21" ref="P95:P102">+K95/H95*100</f>
        <v>41.11339915755691</v>
      </c>
    </row>
    <row r="96" spans="1:16" ht="15">
      <c r="A96" s="12"/>
      <c r="B96" s="5" t="s">
        <v>393</v>
      </c>
      <c r="C96" s="7">
        <v>60103</v>
      </c>
      <c r="D96" s="3">
        <v>11589000</v>
      </c>
      <c r="E96" s="3"/>
      <c r="F96" s="3"/>
      <c r="G96" s="3"/>
      <c r="H96" s="3">
        <f t="shared" si="19"/>
        <v>11589000</v>
      </c>
      <c r="I96" s="3">
        <v>0</v>
      </c>
      <c r="J96" s="3">
        <v>330.07</v>
      </c>
      <c r="K96" s="3">
        <v>11588669.93</v>
      </c>
      <c r="L96" s="3">
        <v>0</v>
      </c>
      <c r="M96" s="3"/>
      <c r="N96" s="3"/>
      <c r="O96" s="3">
        <f t="shared" si="20"/>
        <v>0</v>
      </c>
      <c r="P96" s="14">
        <f t="shared" si="21"/>
        <v>99.99715186815084</v>
      </c>
    </row>
    <row r="97" spans="1:16" ht="15">
      <c r="A97" s="12"/>
      <c r="B97" s="5" t="s">
        <v>394</v>
      </c>
      <c r="C97" s="7">
        <v>60103</v>
      </c>
      <c r="D97" s="3">
        <v>5500000</v>
      </c>
      <c r="E97" s="3"/>
      <c r="F97" s="3"/>
      <c r="G97" s="3"/>
      <c r="H97" s="3">
        <f t="shared" si="19"/>
        <v>5500000</v>
      </c>
      <c r="I97" s="3">
        <v>0</v>
      </c>
      <c r="J97" s="3">
        <v>0</v>
      </c>
      <c r="K97" s="3">
        <v>0</v>
      </c>
      <c r="L97" s="3">
        <v>0</v>
      </c>
      <c r="M97" s="3"/>
      <c r="N97" s="3"/>
      <c r="O97" s="3">
        <f t="shared" si="20"/>
        <v>5500000</v>
      </c>
      <c r="P97" s="14">
        <f t="shared" si="21"/>
        <v>0</v>
      </c>
    </row>
    <row r="98" spans="1:16" ht="15">
      <c r="A98" s="12"/>
      <c r="B98" s="5" t="s">
        <v>395</v>
      </c>
      <c r="C98" s="7">
        <v>60202</v>
      </c>
      <c r="D98" s="3">
        <v>500000</v>
      </c>
      <c r="E98" s="3"/>
      <c r="F98" s="3">
        <v>700000</v>
      </c>
      <c r="G98" s="3"/>
      <c r="H98" s="3">
        <f t="shared" si="19"/>
        <v>1200000</v>
      </c>
      <c r="I98" s="3">
        <v>0</v>
      </c>
      <c r="J98" s="3">
        <v>0</v>
      </c>
      <c r="K98" s="3">
        <v>0</v>
      </c>
      <c r="L98" s="3">
        <v>0</v>
      </c>
      <c r="M98" s="3"/>
      <c r="N98" s="3"/>
      <c r="O98" s="3">
        <f t="shared" si="20"/>
        <v>1200000</v>
      </c>
      <c r="P98" s="14">
        <f t="shared" si="21"/>
        <v>0</v>
      </c>
    </row>
    <row r="99" spans="1:16" ht="15">
      <c r="A99" s="12"/>
      <c r="B99" s="5" t="s">
        <v>396</v>
      </c>
      <c r="C99" s="7">
        <v>60301</v>
      </c>
      <c r="D99" s="3">
        <v>18000000</v>
      </c>
      <c r="E99" s="3">
        <v>8276186.93</v>
      </c>
      <c r="F99" s="3"/>
      <c r="G99" s="3"/>
      <c r="H99" s="3">
        <f t="shared" si="19"/>
        <v>26276186.93</v>
      </c>
      <c r="I99" s="3">
        <v>0</v>
      </c>
      <c r="J99" s="3">
        <v>0</v>
      </c>
      <c r="K99" s="3">
        <v>6908692.03</v>
      </c>
      <c r="L99" s="3">
        <v>4894116.39</v>
      </c>
      <c r="M99" s="3"/>
      <c r="N99" s="3"/>
      <c r="O99" s="3">
        <f t="shared" si="20"/>
        <v>19367494.9</v>
      </c>
      <c r="P99" s="14">
        <f t="shared" si="21"/>
        <v>26.292597355943688</v>
      </c>
    </row>
    <row r="100" spans="1:16" ht="30">
      <c r="A100" s="13"/>
      <c r="B100" s="5" t="s">
        <v>397</v>
      </c>
      <c r="C100" s="7">
        <v>60399</v>
      </c>
      <c r="D100" s="3">
        <v>17000000</v>
      </c>
      <c r="E100" s="3"/>
      <c r="F100" s="3"/>
      <c r="G100" s="3">
        <v>10000000</v>
      </c>
      <c r="H100" s="3">
        <f t="shared" si="19"/>
        <v>27000000</v>
      </c>
      <c r="I100" s="3">
        <v>0</v>
      </c>
      <c r="J100" s="3">
        <v>5281478.67</v>
      </c>
      <c r="K100" s="3">
        <f>11718521.33-175673.33</f>
        <v>11542848</v>
      </c>
      <c r="L100" s="3">
        <v>0</v>
      </c>
      <c r="M100" s="3"/>
      <c r="N100" s="3"/>
      <c r="O100" s="3">
        <f t="shared" si="20"/>
        <v>10175673.329999998</v>
      </c>
      <c r="P100" s="14">
        <f t="shared" si="21"/>
        <v>42.75128888888889</v>
      </c>
    </row>
    <row r="101" spans="1:16" ht="15">
      <c r="A101" s="13"/>
      <c r="B101" s="5" t="s">
        <v>398</v>
      </c>
      <c r="C101" s="7">
        <v>60601</v>
      </c>
      <c r="D101" s="3">
        <v>500000</v>
      </c>
      <c r="E101" s="3"/>
      <c r="F101" s="3"/>
      <c r="G101" s="3"/>
      <c r="H101" s="3">
        <f t="shared" si="19"/>
        <v>500000</v>
      </c>
      <c r="I101" s="3">
        <v>0</v>
      </c>
      <c r="J101" s="3">
        <v>0</v>
      </c>
      <c r="K101" s="3">
        <v>0</v>
      </c>
      <c r="L101" s="3">
        <v>1500000</v>
      </c>
      <c r="M101" s="3"/>
      <c r="N101" s="3"/>
      <c r="O101" s="3">
        <f t="shared" si="20"/>
        <v>500000</v>
      </c>
      <c r="P101" s="14">
        <f t="shared" si="21"/>
        <v>0</v>
      </c>
    </row>
    <row r="102" spans="1:16" ht="15.75" thickBot="1">
      <c r="A102" s="13"/>
      <c r="B102" s="5" t="s">
        <v>409</v>
      </c>
      <c r="C102" s="7">
        <v>60701</v>
      </c>
      <c r="D102" s="3">
        <v>3000000</v>
      </c>
      <c r="E102" s="3"/>
      <c r="F102" s="3"/>
      <c r="G102" s="3">
        <v>-189534.15</v>
      </c>
      <c r="H102" s="3">
        <f t="shared" si="19"/>
        <v>2810465.85</v>
      </c>
      <c r="I102" s="3">
        <v>0</v>
      </c>
      <c r="J102" s="3"/>
      <c r="K102" s="3">
        <v>2810465.85</v>
      </c>
      <c r="L102" s="3"/>
      <c r="M102" s="3"/>
      <c r="N102" s="3"/>
      <c r="O102" s="3">
        <f t="shared" si="20"/>
        <v>0</v>
      </c>
      <c r="P102" s="14">
        <f t="shared" si="21"/>
        <v>100</v>
      </c>
    </row>
    <row r="103" spans="1:16" ht="19.5" thickBot="1">
      <c r="A103" s="13"/>
      <c r="B103" s="24" t="s">
        <v>399</v>
      </c>
      <c r="C103" s="21"/>
      <c r="D103" s="42">
        <f>SUM(D94:D102)</f>
        <v>89193000</v>
      </c>
      <c r="E103" s="42">
        <f>SUM(E94:E102)</f>
        <v>8276186.93</v>
      </c>
      <c r="F103" s="42">
        <f>SUM(F94:F102)</f>
        <v>10700000</v>
      </c>
      <c r="G103" s="42">
        <f>SUM(G94:G102)</f>
        <v>19810465.85</v>
      </c>
      <c r="H103" s="42">
        <f aca="true" t="shared" si="22" ref="H103:O103">SUM(H94:H102)</f>
        <v>127979652.78</v>
      </c>
      <c r="I103" s="42">
        <f t="shared" si="22"/>
        <v>0</v>
      </c>
      <c r="J103" s="42">
        <f t="shared" si="22"/>
        <v>22270684</v>
      </c>
      <c r="K103" s="42">
        <f>SUM(K94:K102)</f>
        <v>58965800.550000004</v>
      </c>
      <c r="L103" s="42">
        <f t="shared" si="22"/>
        <v>6394116.39</v>
      </c>
      <c r="M103" s="42">
        <f t="shared" si="22"/>
        <v>0</v>
      </c>
      <c r="N103" s="42">
        <f t="shared" si="22"/>
        <v>0</v>
      </c>
      <c r="O103" s="42">
        <f t="shared" si="22"/>
        <v>46743168.23</v>
      </c>
      <c r="P103" s="25">
        <f>+K103/H103*100</f>
        <v>46.07435578166756</v>
      </c>
    </row>
    <row r="104" spans="1:15" ht="18.75">
      <c r="A104" s="2"/>
      <c r="B104" s="2"/>
      <c r="C104" s="7"/>
      <c r="D104" s="43">
        <f aca="true" t="shared" si="23" ref="D104:O104">+D103+D93+D83+D59+D20</f>
        <v>6134000000</v>
      </c>
      <c r="E104" s="43">
        <f>+E20+E59+E83+E93+E103</f>
        <v>0</v>
      </c>
      <c r="F104" s="43">
        <f>+F20+F59+F83+F93+F103</f>
        <v>0</v>
      </c>
      <c r="G104" s="43">
        <f>+G20+G59+G83+G93+G103</f>
        <v>0</v>
      </c>
      <c r="H104" s="43">
        <f t="shared" si="23"/>
        <v>6134000000</v>
      </c>
      <c r="I104" s="43">
        <f t="shared" si="23"/>
        <v>146557972.51</v>
      </c>
      <c r="J104" s="43">
        <f t="shared" si="23"/>
        <v>2646839790.99</v>
      </c>
      <c r="K104" s="43">
        <f t="shared" si="23"/>
        <v>2598023793.39</v>
      </c>
      <c r="L104" s="43">
        <f t="shared" si="23"/>
        <v>1924194379.43</v>
      </c>
      <c r="M104" s="43">
        <f t="shared" si="23"/>
        <v>2030357470.3799999</v>
      </c>
      <c r="N104" s="43">
        <f t="shared" si="23"/>
        <v>2989452943.49</v>
      </c>
      <c r="O104" s="43">
        <f t="shared" si="23"/>
        <v>742578443.11</v>
      </c>
    </row>
    <row r="105" ht="15">
      <c r="I105" s="27" t="s">
        <v>309</v>
      </c>
    </row>
    <row r="106" spans="8:16" ht="15.75" thickBot="1">
      <c r="H106" s="14" t="s">
        <v>309</v>
      </c>
      <c r="I106" s="14" t="s">
        <v>309</v>
      </c>
      <c r="K106" t="s">
        <v>309</v>
      </c>
      <c r="P106" t="s">
        <v>309</v>
      </c>
    </row>
    <row r="107" spans="1:16" ht="27" thickBot="1">
      <c r="A107" s="28" t="s">
        <v>289</v>
      </c>
      <c r="D107" s="14" t="s">
        <v>309</v>
      </c>
      <c r="E107" s="14"/>
      <c r="F107" s="14"/>
      <c r="G107" s="14"/>
      <c r="H107" s="14"/>
      <c r="J107" s="83">
        <f>+K104</f>
        <v>2598023793.39</v>
      </c>
      <c r="K107" s="14" t="s">
        <v>309</v>
      </c>
      <c r="O107" t="s">
        <v>400</v>
      </c>
      <c r="P107" s="84">
        <f>+J107/H104*100</f>
        <v>42.35447984007173</v>
      </c>
    </row>
    <row r="108" ht="15">
      <c r="O108" t="s">
        <v>309</v>
      </c>
    </row>
    <row r="109" spans="8:16" ht="15">
      <c r="H109" s="36" t="s">
        <v>309</v>
      </c>
      <c r="I109" s="36" t="s">
        <v>309</v>
      </c>
      <c r="K109" s="14" t="s">
        <v>309</v>
      </c>
      <c r="O109" s="14" t="s">
        <v>309</v>
      </c>
      <c r="P109" s="14" t="s">
        <v>309</v>
      </c>
    </row>
    <row r="110" spans="9:16" ht="15">
      <c r="I110" t="s">
        <v>309</v>
      </c>
      <c r="J110" s="36" t="s">
        <v>309</v>
      </c>
      <c r="K110" s="36" t="s">
        <v>309</v>
      </c>
      <c r="O110" s="14" t="s">
        <v>309</v>
      </c>
      <c r="P110" s="14" t="s">
        <v>309</v>
      </c>
    </row>
    <row r="111" spans="4:16" ht="15">
      <c r="D111" s="36" t="s">
        <v>309</v>
      </c>
      <c r="E111" s="36" t="s">
        <v>309</v>
      </c>
      <c r="F111" s="36"/>
      <c r="G111" s="36"/>
      <c r="H111" s="36" t="s">
        <v>309</v>
      </c>
      <c r="I111" s="36" t="s">
        <v>309</v>
      </c>
      <c r="J111" s="36" t="s">
        <v>309</v>
      </c>
      <c r="K111" s="36" t="s">
        <v>309</v>
      </c>
      <c r="L111" s="36">
        <v>450846273.2600001</v>
      </c>
      <c r="O111" s="14" t="s">
        <v>309</v>
      </c>
      <c r="P111" s="36" t="s">
        <v>309</v>
      </c>
    </row>
    <row r="112" spans="9:16" ht="15">
      <c r="I112" t="s">
        <v>309</v>
      </c>
      <c r="J112" s="14" t="s">
        <v>309</v>
      </c>
      <c r="K112" s="14" t="s">
        <v>309</v>
      </c>
      <c r="O112" s="14" t="s">
        <v>309</v>
      </c>
      <c r="P112" s="36" t="s">
        <v>309</v>
      </c>
    </row>
    <row r="113" spans="10:16" ht="15">
      <c r="J113" s="14" t="s">
        <v>309</v>
      </c>
      <c r="K113" s="14" t="s">
        <v>309</v>
      </c>
      <c r="O113" s="14" t="s">
        <v>401</v>
      </c>
      <c r="P113" s="36" t="s">
        <v>309</v>
      </c>
    </row>
    <row r="114" spans="10:16" ht="15">
      <c r="J114" s="14" t="s">
        <v>309</v>
      </c>
      <c r="K114" s="14" t="s">
        <v>309</v>
      </c>
      <c r="O114" s="14" t="s">
        <v>309</v>
      </c>
      <c r="P114" s="36" t="s">
        <v>309</v>
      </c>
    </row>
    <row r="115" spans="10:16" ht="15">
      <c r="J115" s="14" t="s">
        <v>309</v>
      </c>
      <c r="K115" s="14" t="s">
        <v>309</v>
      </c>
      <c r="O115" s="14" t="s">
        <v>309</v>
      </c>
      <c r="P115" s="14" t="s">
        <v>309</v>
      </c>
    </row>
    <row r="116" spans="10:16" ht="23.25">
      <c r="J116" s="35" t="s">
        <v>309</v>
      </c>
      <c r="K116" s="14" t="s">
        <v>309</v>
      </c>
      <c r="O116" s="14" t="s">
        <v>309</v>
      </c>
      <c r="P116" t="s">
        <v>309</v>
      </c>
    </row>
    <row r="117" ht="15">
      <c r="O117" s="14" t="s">
        <v>309</v>
      </c>
    </row>
    <row r="118" ht="15">
      <c r="O118" s="14" t="s">
        <v>309</v>
      </c>
    </row>
    <row r="119" ht="15">
      <c r="O119" s="14" t="s">
        <v>309</v>
      </c>
    </row>
    <row r="120" ht="15">
      <c r="O120" s="14" t="s">
        <v>309</v>
      </c>
    </row>
    <row r="121" ht="15">
      <c r="O121" s="14" t="s">
        <v>309</v>
      </c>
    </row>
    <row r="122" ht="15">
      <c r="O122" s="14" t="s">
        <v>309</v>
      </c>
    </row>
    <row r="123" ht="15">
      <c r="O123" s="14" t="s">
        <v>309</v>
      </c>
    </row>
    <row r="124" ht="15">
      <c r="O124" s="14" t="s">
        <v>309</v>
      </c>
    </row>
    <row r="125" ht="15">
      <c r="O125" s="14" t="s">
        <v>309</v>
      </c>
    </row>
    <row r="126" ht="15">
      <c r="O126" s="14" t="s">
        <v>309</v>
      </c>
    </row>
  </sheetData>
  <sheetProtection/>
  <printOptions/>
  <pageMargins left="0.31496062992125984" right="0.31496062992125984" top="0.35433070866141736" bottom="0.35433070866141736" header="0.31496062992125984" footer="0.11811023622047245"/>
  <pageSetup horizontalDpi="360" verticalDpi="36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P157"/>
  <sheetViews>
    <sheetView tabSelected="1" zoomScalePageLayoutView="0" workbookViewId="0" topLeftCell="A1">
      <selection activeCell="D18" sqref="D18"/>
    </sheetView>
  </sheetViews>
  <sheetFormatPr defaultColWidth="11.421875" defaultRowHeight="15"/>
  <cols>
    <col min="2" max="2" width="68.00390625" style="0" customWidth="1"/>
    <col min="3" max="3" width="18.140625" style="0" customWidth="1"/>
    <col min="4" max="4" width="13.8515625" style="36" customWidth="1"/>
    <col min="5" max="5" width="15.8515625" style="0" customWidth="1"/>
    <col min="7" max="7" width="13.57421875" style="0" customWidth="1"/>
    <col min="10" max="10" width="11.7109375" style="0" customWidth="1"/>
    <col min="11" max="11" width="13.00390625" style="0" customWidth="1"/>
    <col min="12" max="12" width="12.140625" style="0" customWidth="1"/>
    <col min="16" max="16" width="15.140625" style="0" customWidth="1"/>
  </cols>
  <sheetData>
    <row r="1" spans="1:16" ht="23.25">
      <c r="A1" s="44" t="s">
        <v>577</v>
      </c>
      <c r="C1" s="45"/>
      <c r="D1" s="85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</row>
    <row r="2" spans="2:16" ht="23.25">
      <c r="B2" s="44"/>
      <c r="C2" s="47"/>
      <c r="D2" s="8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spans="1:16" ht="15">
      <c r="A3" s="48"/>
      <c r="B3" s="48"/>
      <c r="C3" s="48"/>
      <c r="D3" s="86" t="s">
        <v>412</v>
      </c>
      <c r="E3" s="49" t="s">
        <v>413</v>
      </c>
      <c r="F3" s="50" t="s">
        <v>414</v>
      </c>
      <c r="G3" s="51" t="s">
        <v>415</v>
      </c>
      <c r="H3" s="52" t="s">
        <v>416</v>
      </c>
      <c r="I3" s="53" t="s">
        <v>417</v>
      </c>
      <c r="J3" s="54" t="s">
        <v>418</v>
      </c>
      <c r="K3" s="49" t="s">
        <v>419</v>
      </c>
      <c r="L3" s="51" t="s">
        <v>420</v>
      </c>
      <c r="M3" s="55" t="s">
        <v>421</v>
      </c>
      <c r="N3" s="56" t="s">
        <v>422</v>
      </c>
      <c r="O3" s="57" t="s">
        <v>423</v>
      </c>
      <c r="P3" s="46"/>
    </row>
    <row r="4" spans="1:16" ht="15">
      <c r="A4" s="58" t="s">
        <v>424</v>
      </c>
      <c r="B4" s="59" t="s">
        <v>425</v>
      </c>
      <c r="C4" s="60">
        <f>SUM(C5:C29)</f>
        <v>5216506000</v>
      </c>
      <c r="D4" s="85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</row>
    <row r="5" spans="1:16" ht="15">
      <c r="A5" s="61" t="s">
        <v>426</v>
      </c>
      <c r="B5" s="62" t="s">
        <v>427</v>
      </c>
      <c r="C5" s="63" t="s">
        <v>309</v>
      </c>
      <c r="D5" s="87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>
        <f>SUM(D5:O5)</f>
        <v>0</v>
      </c>
    </row>
    <row r="6" spans="1:16" ht="15">
      <c r="A6" s="64">
        <v>101</v>
      </c>
      <c r="B6" s="65" t="s">
        <v>428</v>
      </c>
      <c r="C6" s="63">
        <v>1507677000</v>
      </c>
      <c r="D6" s="87">
        <f>55951503.5+55862856.82</f>
        <v>111814360.32</v>
      </c>
      <c r="E6" s="46">
        <v>112844603.67</v>
      </c>
      <c r="F6" s="46">
        <f>55850906.83+56058858.51</f>
        <v>111909765.34</v>
      </c>
      <c r="G6" s="46">
        <f>55405646.83+55353535.18</f>
        <v>110759182.00999999</v>
      </c>
      <c r="H6" s="46">
        <f>55065385.17+55241883.49</f>
        <v>110307268.66</v>
      </c>
      <c r="I6" s="46">
        <f>59945873.33+56282104.99</f>
        <v>116227978.32</v>
      </c>
      <c r="J6" s="46"/>
      <c r="K6" s="46"/>
      <c r="L6" s="46"/>
      <c r="M6" s="46"/>
      <c r="N6" s="46"/>
      <c r="O6" s="46"/>
      <c r="P6" s="46">
        <f aca="true" t="shared" si="0" ref="P6:P69">SUM(D6:O6)</f>
        <v>673863158.3199999</v>
      </c>
    </row>
    <row r="7" spans="1:16" ht="15">
      <c r="A7" s="64">
        <v>103</v>
      </c>
      <c r="B7" s="65" t="s">
        <v>429</v>
      </c>
      <c r="C7" s="63">
        <v>0</v>
      </c>
      <c r="D7" s="87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>
        <f t="shared" si="0"/>
        <v>0</v>
      </c>
    </row>
    <row r="8" spans="1:16" ht="15">
      <c r="A8" s="64">
        <v>105</v>
      </c>
      <c r="B8" s="65" t="s">
        <v>430</v>
      </c>
      <c r="C8" s="63">
        <v>4000000</v>
      </c>
      <c r="D8" s="87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>
        <f t="shared" si="0"/>
        <v>0</v>
      </c>
    </row>
    <row r="9" spans="1:16" ht="15">
      <c r="A9" s="61" t="s">
        <v>431</v>
      </c>
      <c r="B9" s="62" t="s">
        <v>432</v>
      </c>
      <c r="C9" s="63"/>
      <c r="D9" s="87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>
        <f t="shared" si="0"/>
        <v>0</v>
      </c>
    </row>
    <row r="10" spans="1:16" ht="15">
      <c r="A10" s="64">
        <v>201</v>
      </c>
      <c r="B10" s="65" t="s">
        <v>433</v>
      </c>
      <c r="C10" s="63">
        <v>8000000</v>
      </c>
      <c r="D10" s="87">
        <v>291380.3</v>
      </c>
      <c r="E10" s="46">
        <v>1010264.7</v>
      </c>
      <c r="F10" s="46">
        <f>1151200.42+98066.7</f>
        <v>1249267.1199999999</v>
      </c>
      <c r="G10" s="46">
        <v>1388718.89</v>
      </c>
      <c r="H10" s="46">
        <v>1092119.67</v>
      </c>
      <c r="I10" s="46">
        <v>1759238.58</v>
      </c>
      <c r="J10" s="46"/>
      <c r="K10" s="46"/>
      <c r="L10" s="46"/>
      <c r="M10" s="46"/>
      <c r="N10" s="46"/>
      <c r="O10" s="46"/>
      <c r="P10" s="46">
        <f t="shared" si="0"/>
        <v>6790989.26</v>
      </c>
    </row>
    <row r="11" spans="1:16" ht="15">
      <c r="A11" s="64">
        <v>202</v>
      </c>
      <c r="B11" s="65" t="s">
        <v>434</v>
      </c>
      <c r="C11" s="63">
        <v>1000000</v>
      </c>
      <c r="D11" s="87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>
        <f t="shared" si="0"/>
        <v>0</v>
      </c>
    </row>
    <row r="12" spans="1:16" ht="15">
      <c r="A12" s="64">
        <v>203</v>
      </c>
      <c r="B12" s="65" t="s">
        <v>435</v>
      </c>
      <c r="C12" s="63">
        <f>100000-100000</f>
        <v>0</v>
      </c>
      <c r="D12" s="87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>
        <f t="shared" si="0"/>
        <v>0</v>
      </c>
    </row>
    <row r="13" spans="1:16" ht="15">
      <c r="A13" s="61" t="s">
        <v>436</v>
      </c>
      <c r="B13" s="62" t="s">
        <v>437</v>
      </c>
      <c r="C13" s="63"/>
      <c r="D13" s="87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>
        <f t="shared" si="0"/>
        <v>0</v>
      </c>
    </row>
    <row r="14" spans="1:16" ht="15">
      <c r="A14" s="64">
        <v>301</v>
      </c>
      <c r="B14" s="65" t="s">
        <v>438</v>
      </c>
      <c r="C14" s="63">
        <v>926924000</v>
      </c>
      <c r="D14" s="87">
        <f>35127020.67+35161490.83</f>
        <v>70288511.5</v>
      </c>
      <c r="E14" s="46">
        <v>71565178</v>
      </c>
      <c r="F14" s="46">
        <f>35293215.67+35570065.67</f>
        <v>70863281.34</v>
      </c>
      <c r="G14" s="46">
        <f>35617547.34+35389464</f>
        <v>71007011.34</v>
      </c>
      <c r="H14" s="46">
        <f>35328702.34+35494680.67</f>
        <v>70823383.01</v>
      </c>
      <c r="I14" s="46">
        <f>38856339.66+36538483.33</f>
        <v>75394822.99</v>
      </c>
      <c r="J14" s="46"/>
      <c r="K14" s="46"/>
      <c r="L14" s="46"/>
      <c r="M14" s="46"/>
      <c r="N14" s="46"/>
      <c r="O14" s="46"/>
      <c r="P14" s="46">
        <f t="shared" si="0"/>
        <v>429942188.18</v>
      </c>
    </row>
    <row r="15" spans="1:16" ht="15">
      <c r="A15" s="64">
        <v>302</v>
      </c>
      <c r="B15" s="65" t="s">
        <v>439</v>
      </c>
      <c r="C15" s="63">
        <v>829336000</v>
      </c>
      <c r="D15" s="87">
        <f>30021993.75+29964373.41</f>
        <v>59986367.16</v>
      </c>
      <c r="E15" s="46">
        <v>60519481.59</v>
      </c>
      <c r="F15" s="46">
        <f>30014592.42+30113222.49</f>
        <v>60127814.91</v>
      </c>
      <c r="G15" s="46">
        <f>29841482.25+29778887.24</f>
        <v>59620369.489999995</v>
      </c>
      <c r="H15" s="46">
        <f>29542031.83+29970871.5</f>
        <v>59512903.33</v>
      </c>
      <c r="I15" s="46">
        <f>32420029.58+30418870.42</f>
        <v>62838900</v>
      </c>
      <c r="J15" s="46"/>
      <c r="K15" s="46"/>
      <c r="L15" s="46"/>
      <c r="M15" s="46"/>
      <c r="N15" s="46"/>
      <c r="O15" s="46"/>
      <c r="P15" s="46">
        <f t="shared" si="0"/>
        <v>362605836.47999996</v>
      </c>
    </row>
    <row r="16" spans="1:16" ht="15">
      <c r="A16" s="64">
        <v>303</v>
      </c>
      <c r="B16" s="65" t="s">
        <v>440</v>
      </c>
      <c r="C16" s="63">
        <v>332100000</v>
      </c>
      <c r="D16" s="87"/>
      <c r="E16" s="46">
        <v>323331.03</v>
      </c>
      <c r="F16" s="46">
        <v>0</v>
      </c>
      <c r="G16" s="46"/>
      <c r="H16" s="46"/>
      <c r="I16" s="46"/>
      <c r="J16" s="46"/>
      <c r="K16" s="46"/>
      <c r="L16" s="46"/>
      <c r="M16" s="46"/>
      <c r="N16" s="46"/>
      <c r="O16" s="46"/>
      <c r="P16" s="46">
        <f t="shared" si="0"/>
        <v>323331.03</v>
      </c>
    </row>
    <row r="17" spans="1:16" ht="15">
      <c r="A17" s="64">
        <v>304</v>
      </c>
      <c r="B17" s="65" t="s">
        <v>441</v>
      </c>
      <c r="C17" s="63">
        <v>284400000</v>
      </c>
      <c r="D17" s="87">
        <v>271704364</v>
      </c>
      <c r="E17" s="48">
        <v>319449.53</v>
      </c>
      <c r="F17" s="46">
        <v>0</v>
      </c>
      <c r="G17" s="46"/>
      <c r="H17" s="46"/>
      <c r="I17" s="46"/>
      <c r="J17" s="46"/>
      <c r="K17" s="46"/>
      <c r="L17" s="46"/>
      <c r="M17" s="46"/>
      <c r="N17" s="46"/>
      <c r="O17" s="46"/>
      <c r="P17" s="46">
        <f t="shared" si="0"/>
        <v>272023813.53</v>
      </c>
    </row>
    <row r="18" spans="1:16" ht="15">
      <c r="A18" s="64">
        <v>399</v>
      </c>
      <c r="B18" s="65" t="s">
        <v>442</v>
      </c>
      <c r="C18" s="63">
        <v>427103000</v>
      </c>
      <c r="D18" s="87">
        <f>7013970.25+227441+7999742.1+7001761.98+8000621.7+227441</f>
        <v>30470978.029999997</v>
      </c>
      <c r="E18" s="46">
        <v>30530860.88</v>
      </c>
      <c r="F18" s="46">
        <f>7964961.25+7023533.4+227441+7978223.81+7036460.26+227441</f>
        <v>30458060.72</v>
      </c>
      <c r="G18" s="46">
        <f>6969523.45+227441+8220407.93+6947754.01+227441+7998942.68</f>
        <v>30591510.07</v>
      </c>
      <c r="H18" s="46">
        <f>227441+8006114.35+6909521.17+8143684.09+227441+6971729.95</f>
        <v>30485931.56</v>
      </c>
      <c r="I18" s="46">
        <f>8847213.75+246471+7371451.65+8306602.13+229171+7081887.76</f>
        <v>32082797.29</v>
      </c>
      <c r="J18" s="46"/>
      <c r="K18" s="46"/>
      <c r="L18" s="46"/>
      <c r="M18" s="46"/>
      <c r="N18" s="46"/>
      <c r="O18" s="46"/>
      <c r="P18" s="46">
        <f t="shared" si="0"/>
        <v>184620138.54999998</v>
      </c>
    </row>
    <row r="19" spans="1:16" ht="15">
      <c r="A19" s="61" t="s">
        <v>443</v>
      </c>
      <c r="B19" s="62" t="s">
        <v>444</v>
      </c>
      <c r="C19" s="63"/>
      <c r="D19" s="87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>
        <f t="shared" si="0"/>
        <v>0</v>
      </c>
    </row>
    <row r="20" spans="1:16" ht="15">
      <c r="A20" s="64">
        <v>401</v>
      </c>
      <c r="B20" s="65" t="s">
        <v>445</v>
      </c>
      <c r="C20" s="63">
        <v>368931000</v>
      </c>
      <c r="D20" s="87">
        <v>25404840</v>
      </c>
      <c r="E20" s="46">
        <v>50371426</v>
      </c>
      <c r="F20" s="46">
        <v>25214472</v>
      </c>
      <c r="G20" s="46">
        <v>25401260</v>
      </c>
      <c r="H20" s="46">
        <v>25286431</v>
      </c>
      <c r="I20" s="46">
        <v>25180499</v>
      </c>
      <c r="J20" s="46"/>
      <c r="K20" s="46"/>
      <c r="L20" s="46"/>
      <c r="M20" s="46"/>
      <c r="N20" s="46"/>
      <c r="O20" s="46"/>
      <c r="P20" s="46">
        <f t="shared" si="0"/>
        <v>176858928</v>
      </c>
    </row>
    <row r="21" spans="1:16" ht="15">
      <c r="A21" s="64">
        <v>402</v>
      </c>
      <c r="B21" s="65" t="s">
        <v>446</v>
      </c>
      <c r="C21" s="63">
        <v>0</v>
      </c>
      <c r="D21" s="87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>
        <f t="shared" si="0"/>
        <v>0</v>
      </c>
    </row>
    <row r="22" spans="1:16" ht="15">
      <c r="A22" s="64">
        <v>405</v>
      </c>
      <c r="B22" s="65" t="s">
        <v>447</v>
      </c>
      <c r="C22" s="63">
        <v>19942000</v>
      </c>
      <c r="D22" s="87">
        <v>1373239</v>
      </c>
      <c r="E22" s="46">
        <v>2722784</v>
      </c>
      <c r="F22" s="46">
        <v>1362945</v>
      </c>
      <c r="G22" s="46">
        <v>1373043</v>
      </c>
      <c r="H22" s="46">
        <v>1366836</v>
      </c>
      <c r="I22" s="46">
        <v>1361107</v>
      </c>
      <c r="J22" s="46"/>
      <c r="K22" s="46"/>
      <c r="L22" s="46"/>
      <c r="M22" s="46"/>
      <c r="N22" s="46"/>
      <c r="O22" s="46"/>
      <c r="P22" s="46">
        <f t="shared" si="0"/>
        <v>9559954</v>
      </c>
    </row>
    <row r="23" spans="1:16" ht="15">
      <c r="A23" s="61" t="s">
        <v>448</v>
      </c>
      <c r="B23" s="62" t="s">
        <v>449</v>
      </c>
      <c r="C23" s="63"/>
      <c r="D23" s="87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>
        <f t="shared" si="0"/>
        <v>0</v>
      </c>
    </row>
    <row r="24" spans="1:16" ht="15">
      <c r="A24" s="64">
        <v>501</v>
      </c>
      <c r="B24" s="65" t="s">
        <v>572</v>
      </c>
      <c r="C24" s="63">
        <v>202613000</v>
      </c>
      <c r="D24" s="87">
        <v>13829287</v>
      </c>
      <c r="E24" s="46">
        <v>27419932</v>
      </c>
      <c r="F24" s="46">
        <v>13724785</v>
      </c>
      <c r="G24" s="46">
        <v>13827367</v>
      </c>
      <c r="H24" s="46">
        <v>13763090</v>
      </c>
      <c r="I24" s="46">
        <v>13704913</v>
      </c>
      <c r="J24" s="46"/>
      <c r="K24" s="46"/>
      <c r="L24" s="46"/>
      <c r="M24" s="46"/>
      <c r="N24" s="46"/>
      <c r="O24" s="46"/>
      <c r="P24" s="46">
        <f t="shared" si="0"/>
        <v>96269374</v>
      </c>
    </row>
    <row r="25" spans="1:16" ht="15">
      <c r="A25" s="64">
        <v>502</v>
      </c>
      <c r="B25" s="65" t="s">
        <v>450</v>
      </c>
      <c r="C25" s="63">
        <v>59827000</v>
      </c>
      <c r="D25" s="87">
        <v>4119706</v>
      </c>
      <c r="E25" s="46">
        <v>8168341</v>
      </c>
      <c r="F25" s="46">
        <v>4088834</v>
      </c>
      <c r="G25" s="46">
        <v>4119125</v>
      </c>
      <c r="H25" s="46">
        <v>4100499</v>
      </c>
      <c r="I25" s="46">
        <v>4083325</v>
      </c>
      <c r="J25" s="46"/>
      <c r="K25" s="46"/>
      <c r="L25" s="46"/>
      <c r="M25" s="46"/>
      <c r="N25" s="46"/>
      <c r="O25" s="46"/>
      <c r="P25" s="46">
        <f t="shared" si="0"/>
        <v>28679830</v>
      </c>
    </row>
    <row r="26" spans="1:16" ht="15">
      <c r="A26" s="64">
        <v>503</v>
      </c>
      <c r="B26" s="65" t="s">
        <v>451</v>
      </c>
      <c r="C26" s="63">
        <v>119653000</v>
      </c>
      <c r="D26" s="87">
        <v>8239410</v>
      </c>
      <c r="E26" s="46">
        <v>16336681</v>
      </c>
      <c r="F26" s="46">
        <v>8177660</v>
      </c>
      <c r="G26" s="46">
        <v>8238241</v>
      </c>
      <c r="H26" s="46">
        <v>8201002</v>
      </c>
      <c r="I26" s="46">
        <v>8166642</v>
      </c>
      <c r="J26" s="46"/>
      <c r="K26" s="46"/>
      <c r="L26" s="46"/>
      <c r="M26" s="46"/>
      <c r="N26" s="46"/>
      <c r="O26" s="46"/>
      <c r="P26" s="46">
        <f t="shared" si="0"/>
        <v>57359636</v>
      </c>
    </row>
    <row r="27" spans="1:16" ht="15">
      <c r="A27" s="64">
        <v>505</v>
      </c>
      <c r="B27" s="65" t="s">
        <v>573</v>
      </c>
      <c r="C27" s="63">
        <v>125000000</v>
      </c>
      <c r="D27" s="87">
        <v>5381687.27</v>
      </c>
      <c r="E27" s="46">
        <v>20914426.869999997</v>
      </c>
      <c r="F27" s="46">
        <v>10641188.13</v>
      </c>
      <c r="G27" s="46">
        <v>10671622.25</v>
      </c>
      <c r="H27" s="46">
        <v>10670820.95</v>
      </c>
      <c r="I27" s="46">
        <v>10956268.45</v>
      </c>
      <c r="J27" s="46"/>
      <c r="K27" s="46"/>
      <c r="L27" s="46"/>
      <c r="M27" s="46"/>
      <c r="N27" s="46"/>
      <c r="O27" s="46"/>
      <c r="P27" s="46">
        <f t="shared" si="0"/>
        <v>69236013.92</v>
      </c>
    </row>
    <row r="28" spans="1:16" ht="15">
      <c r="A28" s="61" t="s">
        <v>452</v>
      </c>
      <c r="B28" s="62" t="s">
        <v>453</v>
      </c>
      <c r="C28" s="63"/>
      <c r="D28" s="87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>
        <f t="shared" si="0"/>
        <v>0</v>
      </c>
    </row>
    <row r="29" spans="1:16" ht="15">
      <c r="A29" s="64">
        <v>9901</v>
      </c>
      <c r="B29" s="65" t="s">
        <v>454</v>
      </c>
      <c r="C29" s="63">
        <v>0</v>
      </c>
      <c r="D29" s="87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>
        <f t="shared" si="0"/>
        <v>0</v>
      </c>
    </row>
    <row r="30" spans="1:16" ht="15">
      <c r="A30" s="64"/>
      <c r="B30" s="65"/>
      <c r="C30" s="66"/>
      <c r="D30" s="87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>
        <f t="shared" si="0"/>
        <v>0</v>
      </c>
    </row>
    <row r="31" spans="1:16" ht="15">
      <c r="A31" s="58" t="s">
        <v>455</v>
      </c>
      <c r="B31" s="59" t="s">
        <v>456</v>
      </c>
      <c r="C31" s="60">
        <f>SUM(C33:C83)</f>
        <v>563350000</v>
      </c>
      <c r="D31" s="87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>
        <f t="shared" si="0"/>
        <v>0</v>
      </c>
    </row>
    <row r="32" spans="1:16" ht="15">
      <c r="A32" s="67">
        <v>101</v>
      </c>
      <c r="B32" s="62" t="s">
        <v>457</v>
      </c>
      <c r="C32" s="63"/>
      <c r="D32" s="87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>
        <f t="shared" si="0"/>
        <v>0</v>
      </c>
    </row>
    <row r="33" spans="1:16" ht="15">
      <c r="A33" s="64">
        <v>10101</v>
      </c>
      <c r="B33" s="65" t="s">
        <v>458</v>
      </c>
      <c r="C33" s="63">
        <v>61500000</v>
      </c>
      <c r="D33" s="87">
        <f>309000+550555+45000+65463.75</f>
        <v>970018.75</v>
      </c>
      <c r="E33" s="46">
        <v>2326321.75</v>
      </c>
      <c r="F33" s="46">
        <f>48950+50000+703975+700000+54800+550555</f>
        <v>2108280</v>
      </c>
      <c r="G33" s="46">
        <f>700000+37350+50000+480953+480953+309000+65463.75+703975+633138</f>
        <v>3460832.75</v>
      </c>
      <c r="H33" s="46">
        <f>65463.75+309000+700000+633138+67050+50000+309000+703975+69050</f>
        <v>2906676.75</v>
      </c>
      <c r="I33" s="46">
        <f>65463.75+633138+50000+703975+24600+21050+65463.75+700000+480953+480953+700000+309000+7750</f>
        <v>4242346.5</v>
      </c>
      <c r="J33" s="46"/>
      <c r="K33" s="46"/>
      <c r="L33" s="46"/>
      <c r="M33" s="46"/>
      <c r="N33" s="46"/>
      <c r="O33" s="46"/>
      <c r="P33" s="46">
        <f t="shared" si="0"/>
        <v>16014476.5</v>
      </c>
    </row>
    <row r="34" spans="1:16" ht="15">
      <c r="A34" s="64">
        <v>10102</v>
      </c>
      <c r="B34" s="65" t="s">
        <v>459</v>
      </c>
      <c r="C34" s="63">
        <v>0</v>
      </c>
      <c r="D34" s="87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>
        <f t="shared" si="0"/>
        <v>0</v>
      </c>
    </row>
    <row r="35" spans="1:16" ht="15">
      <c r="A35" s="64">
        <v>10103</v>
      </c>
      <c r="B35" s="65" t="s">
        <v>460</v>
      </c>
      <c r="C35" s="63">
        <v>0</v>
      </c>
      <c r="D35" s="87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>
        <f t="shared" si="0"/>
        <v>0</v>
      </c>
    </row>
    <row r="36" spans="1:16" ht="15">
      <c r="A36" s="64">
        <v>10104</v>
      </c>
      <c r="B36" s="65" t="s">
        <v>461</v>
      </c>
      <c r="C36" s="63">
        <f>2000000-2000000</f>
        <v>0</v>
      </c>
      <c r="D36" s="87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>
        <f t="shared" si="0"/>
        <v>0</v>
      </c>
    </row>
    <row r="37" spans="1:16" ht="15">
      <c r="A37" s="64">
        <v>10199</v>
      </c>
      <c r="B37" s="65" t="s">
        <v>462</v>
      </c>
      <c r="C37" s="63">
        <v>100000</v>
      </c>
      <c r="D37" s="87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>
        <f t="shared" si="0"/>
        <v>0</v>
      </c>
    </row>
    <row r="38" spans="1:16" ht="15">
      <c r="A38" s="67">
        <v>102</v>
      </c>
      <c r="B38" s="62" t="s">
        <v>463</v>
      </c>
      <c r="C38" s="63"/>
      <c r="D38" s="87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>
        <f t="shared" si="0"/>
        <v>0</v>
      </c>
    </row>
    <row r="39" spans="1:16" ht="15">
      <c r="A39" s="64">
        <v>10201</v>
      </c>
      <c r="B39" s="65" t="s">
        <v>464</v>
      </c>
      <c r="C39" s="63">
        <v>20500000</v>
      </c>
      <c r="D39" s="87">
        <f>5210+12652+12652+7376+1475336</f>
        <v>1513226</v>
      </c>
      <c r="E39" s="46">
        <v>1231779</v>
      </c>
      <c r="F39" s="46">
        <f>7386+9148+1504550+5220+5624</f>
        <v>1531928</v>
      </c>
      <c r="G39" s="46">
        <f>7386+3980+1405990+5624+5624</f>
        <v>1428604</v>
      </c>
      <c r="H39" s="46">
        <f>7386+3980+1526950+9148+7386</f>
        <v>1554850</v>
      </c>
      <c r="I39" s="46">
        <f>5624+3980+1314150+5624+7386</f>
        <v>1336764</v>
      </c>
      <c r="J39" s="46"/>
      <c r="K39" s="46"/>
      <c r="L39" s="46"/>
      <c r="M39" s="46"/>
      <c r="N39" s="46"/>
      <c r="O39" s="46"/>
      <c r="P39" s="46">
        <f t="shared" si="0"/>
        <v>8597151</v>
      </c>
    </row>
    <row r="40" spans="1:16" ht="15">
      <c r="A40" s="64">
        <v>10202</v>
      </c>
      <c r="B40" s="65" t="s">
        <v>465</v>
      </c>
      <c r="C40" s="63">
        <v>28500000</v>
      </c>
      <c r="D40" s="87">
        <f>97425+58255+1520176+31024+26405.33+58585+41440+44685+65125</f>
        <v>1943120.33</v>
      </c>
      <c r="E40" s="46">
        <v>1735440.03</v>
      </c>
      <c r="F40" s="46">
        <f>83820+1425285+28894.99+125855+54560+68870+71555</f>
        <v>1858839.99</v>
      </c>
      <c r="G40" s="46">
        <f>27886.59+57765+65450+99650+74110</f>
        <v>324861.58999999997</v>
      </c>
      <c r="H40" s="46">
        <f>117425+1469280+29937.1+98620+1402390+79135+64710+88405+71855</f>
        <v>3421757.1</v>
      </c>
      <c r="I40" s="46">
        <f>88065+1626555+93150+70480+99945+101945+24034.94</f>
        <v>2104174.94</v>
      </c>
      <c r="J40" s="46"/>
      <c r="K40" s="46"/>
      <c r="L40" s="46"/>
      <c r="M40" s="46"/>
      <c r="N40" s="46"/>
      <c r="O40" s="46"/>
      <c r="P40" s="46">
        <f t="shared" si="0"/>
        <v>11388193.98</v>
      </c>
    </row>
    <row r="41" spans="1:16" ht="15">
      <c r="A41" s="64">
        <v>10203</v>
      </c>
      <c r="B41" s="65" t="s">
        <v>466</v>
      </c>
      <c r="C41" s="63">
        <f>8000000+1000000</f>
        <v>9000000</v>
      </c>
      <c r="D41" s="87">
        <v>10840</v>
      </c>
      <c r="E41" s="46">
        <v>474550</v>
      </c>
      <c r="F41" s="46">
        <f>800890+3700</f>
        <v>804590</v>
      </c>
      <c r="G41" s="46">
        <v>729540</v>
      </c>
      <c r="H41" s="46">
        <f>475610+8120</f>
        <v>483730</v>
      </c>
      <c r="I41" s="46">
        <f>607480+9735</f>
        <v>617215</v>
      </c>
      <c r="J41" s="46"/>
      <c r="K41" s="46"/>
      <c r="L41" s="46"/>
      <c r="M41" s="46"/>
      <c r="N41" s="46"/>
      <c r="O41" s="46"/>
      <c r="P41" s="46">
        <f t="shared" si="0"/>
        <v>3120465</v>
      </c>
    </row>
    <row r="42" spans="1:16" ht="15">
      <c r="A42" s="64">
        <v>10204</v>
      </c>
      <c r="B42" s="65" t="s">
        <v>467</v>
      </c>
      <c r="C42" s="63">
        <v>48250000</v>
      </c>
      <c r="D42" s="87">
        <f>2578290.82+52618.18+280667.1+5727.9+195191.5+3983.5+184209.15+3759.35+556744.3+11362.1</f>
        <v>3872553.9</v>
      </c>
      <c r="E42" s="46">
        <v>4208192.52</v>
      </c>
      <c r="F42" s="46">
        <f>718885.71+169257+2675728+300855+200030+190333.6</f>
        <v>4255089.31</v>
      </c>
      <c r="G42" s="46">
        <f>500000+255578.41</f>
        <v>755578.41</v>
      </c>
      <c r="H42" s="46">
        <f>170181+190058.9+2724375+296795+187000+170637+191191.2+653545.52+289485+2648305+186865</f>
        <v>7708438.62</v>
      </c>
      <c r="I42" s="46">
        <f>337995.58+500000+203898.17+171612+194340.2+2743483+344935+190440</f>
        <v>4686703.95</v>
      </c>
      <c r="J42" s="46"/>
      <c r="K42" s="46"/>
      <c r="L42" s="46"/>
      <c r="M42" s="46"/>
      <c r="N42" s="46"/>
      <c r="O42" s="46"/>
      <c r="P42" s="46">
        <f t="shared" si="0"/>
        <v>25486556.71</v>
      </c>
    </row>
    <row r="43" spans="1:16" ht="15">
      <c r="A43" s="64">
        <v>10299</v>
      </c>
      <c r="B43" s="65" t="s">
        <v>468</v>
      </c>
      <c r="C43" s="63">
        <v>1500000</v>
      </c>
      <c r="D43" s="87"/>
      <c r="E43" s="46">
        <v>14960.68</v>
      </c>
      <c r="F43" s="46">
        <f>266226+25945.68+32850+12000</f>
        <v>337021.68</v>
      </c>
      <c r="G43" s="46">
        <v>14960.68</v>
      </c>
      <c r="H43" s="46">
        <f>19950+14960.68</f>
        <v>34910.68</v>
      </c>
      <c r="I43" s="46">
        <v>14960.68</v>
      </c>
      <c r="J43" s="46"/>
      <c r="K43" s="46"/>
      <c r="L43" s="46"/>
      <c r="M43" s="46"/>
      <c r="N43" s="46"/>
      <c r="O43" s="46"/>
      <c r="P43" s="46">
        <f t="shared" si="0"/>
        <v>416814.39999999997</v>
      </c>
    </row>
    <row r="44" spans="1:16" ht="15">
      <c r="A44" s="67">
        <v>103</v>
      </c>
      <c r="B44" s="62" t="s">
        <v>469</v>
      </c>
      <c r="C44" s="63"/>
      <c r="D44" s="87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>
        <f t="shared" si="0"/>
        <v>0</v>
      </c>
    </row>
    <row r="45" spans="1:16" ht="15">
      <c r="A45" s="64">
        <v>10301</v>
      </c>
      <c r="B45" s="65" t="s">
        <v>470</v>
      </c>
      <c r="C45" s="63">
        <v>6000000</v>
      </c>
      <c r="D45" s="87"/>
      <c r="E45" s="46">
        <v>8470</v>
      </c>
      <c r="F45" s="46">
        <f>219372+87940</f>
        <v>307312</v>
      </c>
      <c r="G45" s="46">
        <f>63980+77460</f>
        <v>141440</v>
      </c>
      <c r="H45" s="46"/>
      <c r="I45" s="46">
        <v>42930</v>
      </c>
      <c r="J45" s="46"/>
      <c r="K45" s="46"/>
      <c r="L45" s="46"/>
      <c r="M45" s="46"/>
      <c r="N45" s="46"/>
      <c r="O45" s="46"/>
      <c r="P45" s="46">
        <f t="shared" si="0"/>
        <v>500152</v>
      </c>
    </row>
    <row r="46" spans="1:16" ht="15">
      <c r="A46" s="64">
        <v>10302</v>
      </c>
      <c r="B46" s="65" t="s">
        <v>471</v>
      </c>
      <c r="C46" s="63">
        <v>0</v>
      </c>
      <c r="D46" s="87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>
        <f t="shared" si="0"/>
        <v>0</v>
      </c>
    </row>
    <row r="47" spans="1:16" ht="15">
      <c r="A47" s="64">
        <v>10303</v>
      </c>
      <c r="B47" s="65" t="s">
        <v>472</v>
      </c>
      <c r="C47" s="63">
        <v>4000000</v>
      </c>
      <c r="D47" s="87"/>
      <c r="E47" s="46">
        <v>8760</v>
      </c>
      <c r="F47" s="46"/>
      <c r="G47" s="46">
        <v>31450</v>
      </c>
      <c r="H47" s="46">
        <f>7590+7500</f>
        <v>15090</v>
      </c>
      <c r="I47" s="46">
        <f>21050+7785</f>
        <v>28835</v>
      </c>
      <c r="J47" s="46"/>
      <c r="K47" s="46"/>
      <c r="L47" s="46"/>
      <c r="M47" s="46"/>
      <c r="N47" s="46"/>
      <c r="O47" s="46"/>
      <c r="P47" s="46">
        <f t="shared" si="0"/>
        <v>84135</v>
      </c>
    </row>
    <row r="48" spans="1:16" ht="15">
      <c r="A48" s="64">
        <v>10304</v>
      </c>
      <c r="B48" s="65" t="s">
        <v>473</v>
      </c>
      <c r="C48" s="63">
        <v>200000</v>
      </c>
      <c r="D48" s="87"/>
      <c r="E48" s="46">
        <v>5500</v>
      </c>
      <c r="F48" s="46"/>
      <c r="G48" s="46"/>
      <c r="H48" s="46">
        <v>1000</v>
      </c>
      <c r="I48" s="46">
        <v>1500</v>
      </c>
      <c r="J48" s="46"/>
      <c r="K48" s="46"/>
      <c r="L48" s="46"/>
      <c r="M48" s="46"/>
      <c r="N48" s="46"/>
      <c r="O48" s="46"/>
      <c r="P48" s="46">
        <f t="shared" si="0"/>
        <v>8000</v>
      </c>
    </row>
    <row r="49" spans="1:16" ht="15">
      <c r="A49" s="64">
        <v>10306</v>
      </c>
      <c r="B49" s="65" t="s">
        <v>474</v>
      </c>
      <c r="C49" s="63">
        <f>1200000+500000</f>
        <v>1700000</v>
      </c>
      <c r="D49" s="87">
        <f>114249.7+2331.65</f>
        <v>116581.34999999999</v>
      </c>
      <c r="E49" s="46">
        <v>69233.45</v>
      </c>
      <c r="F49" s="46">
        <v>56816</v>
      </c>
      <c r="G49" s="46"/>
      <c r="H49" s="46">
        <f>57072+56734</f>
        <v>113806</v>
      </c>
      <c r="I49" s="46">
        <v>81096.38</v>
      </c>
      <c r="J49" s="46"/>
      <c r="K49" s="46"/>
      <c r="L49" s="46"/>
      <c r="M49" s="46"/>
      <c r="N49" s="46"/>
      <c r="O49" s="46"/>
      <c r="P49" s="46">
        <f t="shared" si="0"/>
        <v>437533.18</v>
      </c>
    </row>
    <row r="50" spans="1:16" ht="15">
      <c r="A50" s="64">
        <v>10307</v>
      </c>
      <c r="B50" s="65" t="s">
        <v>475</v>
      </c>
      <c r="C50" s="63">
        <v>16800000</v>
      </c>
      <c r="D50" s="87">
        <f>454896.7+9283.61</f>
        <v>464180.31</v>
      </c>
      <c r="E50" s="46">
        <v>610409.57</v>
      </c>
      <c r="F50" s="46">
        <v>781751.51</v>
      </c>
      <c r="G50" s="46"/>
      <c r="H50" s="46">
        <f>721094.17+355308.48</f>
        <v>1076402.65</v>
      </c>
      <c r="I50" s="46">
        <v>915448.81</v>
      </c>
      <c r="J50" s="46"/>
      <c r="K50" s="46"/>
      <c r="L50" s="46"/>
      <c r="M50" s="46"/>
      <c r="N50" s="46"/>
      <c r="O50" s="46"/>
      <c r="P50" s="46">
        <f t="shared" si="0"/>
        <v>3848192.85</v>
      </c>
    </row>
    <row r="51" spans="1:16" ht="15">
      <c r="A51" s="67">
        <v>104</v>
      </c>
      <c r="B51" s="62" t="s">
        <v>476</v>
      </c>
      <c r="C51" s="63"/>
      <c r="D51" s="87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>
        <f t="shared" si="0"/>
        <v>0</v>
      </c>
    </row>
    <row r="52" spans="1:16" ht="15">
      <c r="A52" s="64">
        <v>10401</v>
      </c>
      <c r="B52" s="65" t="s">
        <v>477</v>
      </c>
      <c r="C52" s="63">
        <v>200000</v>
      </c>
      <c r="D52" s="87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>
        <f t="shared" si="0"/>
        <v>0</v>
      </c>
    </row>
    <row r="53" spans="1:16" ht="15">
      <c r="A53" s="64">
        <v>10402</v>
      </c>
      <c r="B53" s="65" t="s">
        <v>478</v>
      </c>
      <c r="C53" s="63">
        <v>0</v>
      </c>
      <c r="D53" s="87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>
        <f t="shared" si="0"/>
        <v>0</v>
      </c>
    </row>
    <row r="54" spans="1:16" ht="15">
      <c r="A54" s="64">
        <v>10403</v>
      </c>
      <c r="B54" s="65" t="s">
        <v>479</v>
      </c>
      <c r="C54" s="63">
        <v>650000</v>
      </c>
      <c r="D54" s="87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>
        <f t="shared" si="0"/>
        <v>0</v>
      </c>
    </row>
    <row r="55" spans="1:16" ht="15">
      <c r="A55" s="64">
        <v>10404</v>
      </c>
      <c r="B55" s="65" t="s">
        <v>480</v>
      </c>
      <c r="C55" s="63">
        <v>9000000</v>
      </c>
      <c r="D55" s="87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>
        <f t="shared" si="0"/>
        <v>0</v>
      </c>
    </row>
    <row r="56" spans="1:16" ht="15">
      <c r="A56" s="64">
        <v>10405</v>
      </c>
      <c r="B56" s="65" t="s">
        <v>481</v>
      </c>
      <c r="C56" s="63">
        <v>88000000</v>
      </c>
      <c r="D56" s="87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>
        <f t="shared" si="0"/>
        <v>0</v>
      </c>
    </row>
    <row r="57" spans="1:16" ht="15">
      <c r="A57" s="64">
        <v>10406</v>
      </c>
      <c r="B57" s="65" t="s">
        <v>482</v>
      </c>
      <c r="C57" s="63">
        <v>113300000</v>
      </c>
      <c r="D57" s="87">
        <v>60000</v>
      </c>
      <c r="E57" s="46">
        <v>4312791.54</v>
      </c>
      <c r="F57" s="46">
        <f>29040+159800+51500+4349168.06+23600+20000</f>
        <v>4633108.06</v>
      </c>
      <c r="G57" s="46">
        <f>36791.5+36791.5+131627.72+131627.72+4949168.06</f>
        <v>5286006.5</v>
      </c>
      <c r="H57" s="46">
        <f>4349168.06+1200000+38333+4949168.06+20000+2618627.17+39600</f>
        <v>13214896.29</v>
      </c>
      <c r="I57" s="46">
        <f>20000+404278.98+45390+131627.72+131627.72+36791.5+36791.5+410756.59+20255</f>
        <v>1237519.01</v>
      </c>
      <c r="J57" s="46"/>
      <c r="K57" s="46"/>
      <c r="L57" s="46"/>
      <c r="M57" s="46"/>
      <c r="N57" s="46"/>
      <c r="O57" s="46"/>
      <c r="P57" s="46">
        <f t="shared" si="0"/>
        <v>28744321.400000002</v>
      </c>
    </row>
    <row r="58" spans="1:16" ht="15">
      <c r="A58" s="64">
        <v>10499</v>
      </c>
      <c r="B58" s="65" t="s">
        <v>483</v>
      </c>
      <c r="C58" s="63">
        <v>10200000</v>
      </c>
      <c r="D58" s="87"/>
      <c r="E58" s="46">
        <v>580645.01</v>
      </c>
      <c r="F58" s="46">
        <f>29790+200000+391805.98</f>
        <v>621595.98</v>
      </c>
      <c r="G58" s="46">
        <v>200000</v>
      </c>
      <c r="H58" s="46">
        <f>395372.06+200000</f>
        <v>595372.06</v>
      </c>
      <c r="I58" s="46">
        <f>30000+60000+200000+45000+30000+10920</f>
        <v>375920</v>
      </c>
      <c r="J58" s="46"/>
      <c r="K58" s="46"/>
      <c r="L58" s="46"/>
      <c r="M58" s="46"/>
      <c r="N58" s="46"/>
      <c r="O58" s="46"/>
      <c r="P58" s="46">
        <f t="shared" si="0"/>
        <v>2373533.05</v>
      </c>
    </row>
    <row r="59" spans="1:16" ht="15">
      <c r="A59" s="67">
        <v>105</v>
      </c>
      <c r="B59" s="62" t="s">
        <v>484</v>
      </c>
      <c r="C59" s="63"/>
      <c r="D59" s="87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>
        <f t="shared" si="0"/>
        <v>0</v>
      </c>
    </row>
    <row r="60" spans="1:16" ht="15">
      <c r="A60" s="64">
        <v>10501</v>
      </c>
      <c r="B60" s="65" t="s">
        <v>485</v>
      </c>
      <c r="C60" s="63">
        <v>2000000</v>
      </c>
      <c r="D60" s="87"/>
      <c r="E60" s="46">
        <v>137610</v>
      </c>
      <c r="F60" s="46">
        <f>2500+12470+3810+1740+2180+85835</f>
        <v>108535</v>
      </c>
      <c r="G60" s="46">
        <f>43315+36410</f>
        <v>79725</v>
      </c>
      <c r="H60" s="46">
        <f>144040+8440+98000</f>
        <v>250480</v>
      </c>
      <c r="I60" s="46">
        <f>112300+3800+4220+15500+40165</f>
        <v>175985</v>
      </c>
      <c r="J60" s="46"/>
      <c r="K60" s="46"/>
      <c r="L60" s="46"/>
      <c r="M60" s="46"/>
      <c r="N60" s="46"/>
      <c r="O60" s="46"/>
      <c r="P60" s="46">
        <f t="shared" si="0"/>
        <v>752335</v>
      </c>
    </row>
    <row r="61" spans="1:16" ht="15">
      <c r="A61" s="64">
        <v>10502</v>
      </c>
      <c r="B61" s="65" t="s">
        <v>486</v>
      </c>
      <c r="C61" s="63">
        <v>25000000</v>
      </c>
      <c r="D61" s="87"/>
      <c r="E61" s="46">
        <v>774550</v>
      </c>
      <c r="F61" s="46">
        <f>677750+44950+48150+48150+41750+5150+18650+21850+8350+13500+8350+27000+13500+8350+48150+13500+16700+8350+41000+41000+13500+8350+8350+32650+84750+74750+5150+5150+705710</f>
        <v>2092510</v>
      </c>
      <c r="G61" s="46">
        <f>63350+75350+8350+8350+1411350+51000+69800+43000+21850+158400</f>
        <v>1910800</v>
      </c>
      <c r="H61" s="46">
        <f>42997.5+8350+25050+16700+13500+45850+1062500+27000+8350+10300+10300+47000+43800+37848.8+44850+21850+19900+25050+89895.5+39650+39650+8350+16700+37843+42650+37500+21850+16700+659400</f>
        <v>2521384.8</v>
      </c>
      <c r="I61" s="46">
        <f>107500+8350+36150+39650+54550+11550+8350+75699.6+727450+30825+100500+8350+60550+16700+37849+35850+8350+253450+37850+44949+5150+1138700</f>
        <v>2848322.6</v>
      </c>
      <c r="J61" s="46"/>
      <c r="K61" s="46"/>
      <c r="L61" s="46"/>
      <c r="M61" s="46"/>
      <c r="N61" s="46"/>
      <c r="O61" s="46"/>
      <c r="P61" s="46">
        <f t="shared" si="0"/>
        <v>10147567.4</v>
      </c>
    </row>
    <row r="62" spans="1:16" ht="15">
      <c r="A62" s="64">
        <v>10503</v>
      </c>
      <c r="B62" s="65" t="s">
        <v>487</v>
      </c>
      <c r="C62" s="63">
        <v>3000000</v>
      </c>
      <c r="D62" s="87"/>
      <c r="E62" s="46"/>
      <c r="F62" s="46"/>
      <c r="G62" s="46">
        <v>700281.1</v>
      </c>
      <c r="H62" s="46"/>
      <c r="I62" s="46">
        <v>168831.39</v>
      </c>
      <c r="J62" s="46"/>
      <c r="K62" s="46"/>
      <c r="L62" s="46"/>
      <c r="M62" s="46"/>
      <c r="N62" s="46"/>
      <c r="O62" s="46"/>
      <c r="P62" s="46">
        <f t="shared" si="0"/>
        <v>869112.49</v>
      </c>
    </row>
    <row r="63" spans="1:16" ht="15">
      <c r="A63" s="64">
        <v>10504</v>
      </c>
      <c r="B63" s="65" t="s">
        <v>488</v>
      </c>
      <c r="C63" s="63">
        <v>4500000</v>
      </c>
      <c r="D63" s="87"/>
      <c r="E63" s="46">
        <v>252486.38</v>
      </c>
      <c r="F63" s="46">
        <v>181959.99</v>
      </c>
      <c r="G63" s="46"/>
      <c r="H63" s="46">
        <v>117821.95</v>
      </c>
      <c r="I63" s="46">
        <f>75783.64+313737.49+593085.18</f>
        <v>982606.31</v>
      </c>
      <c r="J63" s="46"/>
      <c r="K63" s="46"/>
      <c r="L63" s="46"/>
      <c r="M63" s="46"/>
      <c r="N63" s="46"/>
      <c r="O63" s="46"/>
      <c r="P63" s="46">
        <f t="shared" si="0"/>
        <v>1534874.63</v>
      </c>
    </row>
    <row r="64" spans="1:16" ht="15">
      <c r="A64" s="67">
        <v>106</v>
      </c>
      <c r="B64" s="62" t="s">
        <v>489</v>
      </c>
      <c r="C64" s="63"/>
      <c r="D64" s="87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>
        <f t="shared" si="0"/>
        <v>0</v>
      </c>
    </row>
    <row r="65" spans="1:16" ht="15">
      <c r="A65" s="64">
        <v>10601</v>
      </c>
      <c r="B65" s="65" t="s">
        <v>490</v>
      </c>
      <c r="C65" s="63">
        <v>45000000</v>
      </c>
      <c r="D65" s="87">
        <f>585334.4+11945.6+4152738.25+84749.75+4901470+100030+50039.77+1021.23+45258</f>
        <v>9932587</v>
      </c>
      <c r="E65" s="46">
        <v>8509835</v>
      </c>
      <c r="F65" s="46">
        <v>9359686</v>
      </c>
      <c r="G65" s="46"/>
      <c r="H65" s="46"/>
      <c r="I65" s="46">
        <v>28012</v>
      </c>
      <c r="J65" s="46"/>
      <c r="K65" s="46"/>
      <c r="L65" s="46"/>
      <c r="M65" s="46"/>
      <c r="N65" s="46"/>
      <c r="O65" s="46"/>
      <c r="P65" s="46">
        <f t="shared" si="0"/>
        <v>27830120</v>
      </c>
    </row>
    <row r="66" spans="1:16" ht="15">
      <c r="A66" s="67">
        <v>107</v>
      </c>
      <c r="B66" s="62" t="s">
        <v>491</v>
      </c>
      <c r="C66" s="63"/>
      <c r="D66" s="87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>
        <f t="shared" si="0"/>
        <v>0</v>
      </c>
    </row>
    <row r="67" spans="1:16" ht="15">
      <c r="A67" s="64">
        <v>10701</v>
      </c>
      <c r="B67" s="65" t="s">
        <v>492</v>
      </c>
      <c r="C67" s="63">
        <v>10000000</v>
      </c>
      <c r="D67" s="87"/>
      <c r="E67" s="46">
        <v>90950</v>
      </c>
      <c r="F67" s="46">
        <f>81145+110000+35290+20000</f>
        <v>246435</v>
      </c>
      <c r="G67" s="46">
        <v>495000</v>
      </c>
      <c r="H67" s="46">
        <f>273750+28000+423033.35+38060+283835+50800</f>
        <v>1097478.35</v>
      </c>
      <c r="I67" s="46">
        <f>133830+556500+14400</f>
        <v>704730</v>
      </c>
      <c r="J67" s="46"/>
      <c r="K67" s="46"/>
      <c r="L67" s="46"/>
      <c r="M67" s="46"/>
      <c r="N67" s="46"/>
      <c r="O67" s="46"/>
      <c r="P67" s="46">
        <f t="shared" si="0"/>
        <v>2634593.35</v>
      </c>
    </row>
    <row r="68" spans="1:16" ht="15">
      <c r="A68" s="64">
        <v>10702</v>
      </c>
      <c r="B68" s="65" t="s">
        <v>493</v>
      </c>
      <c r="C68" s="63">
        <v>3000000</v>
      </c>
      <c r="D68" s="87"/>
      <c r="E68" s="46"/>
      <c r="F68" s="46"/>
      <c r="G68" s="46"/>
      <c r="H68" s="46">
        <v>18630</v>
      </c>
      <c r="I68" s="46"/>
      <c r="J68" s="46"/>
      <c r="K68" s="46"/>
      <c r="L68" s="46"/>
      <c r="M68" s="46"/>
      <c r="N68" s="46"/>
      <c r="O68" s="46"/>
      <c r="P68" s="46">
        <f t="shared" si="0"/>
        <v>18630</v>
      </c>
    </row>
    <row r="69" spans="1:16" ht="15">
      <c r="A69" s="64">
        <v>10703</v>
      </c>
      <c r="B69" s="65" t="s">
        <v>494</v>
      </c>
      <c r="C69" s="63">
        <v>200000</v>
      </c>
      <c r="D69" s="87"/>
      <c r="E69" s="46">
        <v>68600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>
        <f t="shared" si="0"/>
        <v>68600</v>
      </c>
    </row>
    <row r="70" spans="1:16" ht="15">
      <c r="A70" s="67">
        <v>108</v>
      </c>
      <c r="B70" s="62" t="s">
        <v>495</v>
      </c>
      <c r="C70" s="63"/>
      <c r="D70" s="87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>
        <f aca="true" t="shared" si="1" ref="P70:P133">SUM(D70:O70)</f>
        <v>0</v>
      </c>
    </row>
    <row r="71" spans="1:16" ht="15">
      <c r="A71" s="64">
        <v>10801</v>
      </c>
      <c r="B71" s="65" t="s">
        <v>496</v>
      </c>
      <c r="C71" s="63">
        <v>30000000</v>
      </c>
      <c r="D71" s="87"/>
      <c r="E71" s="46"/>
      <c r="F71" s="46"/>
      <c r="G71" s="46"/>
      <c r="H71" s="46"/>
      <c r="I71" s="46">
        <f>150000+249999</f>
        <v>399999</v>
      </c>
      <c r="J71" s="46"/>
      <c r="K71" s="46"/>
      <c r="L71" s="46"/>
      <c r="M71" s="46"/>
      <c r="N71" s="46"/>
      <c r="O71" s="46"/>
      <c r="P71" s="46">
        <f t="shared" si="1"/>
        <v>399999</v>
      </c>
    </row>
    <row r="72" spans="1:16" ht="15">
      <c r="A72" s="64">
        <v>10804</v>
      </c>
      <c r="B72" s="65" t="s">
        <v>497</v>
      </c>
      <c r="C72" s="63">
        <v>4000000</v>
      </c>
      <c r="D72" s="87"/>
      <c r="E72" s="46">
        <v>39500</v>
      </c>
      <c r="F72" s="46"/>
      <c r="G72" s="46"/>
      <c r="H72" s="46"/>
      <c r="I72" s="46">
        <v>1043750</v>
      </c>
      <c r="J72" s="46"/>
      <c r="K72" s="46"/>
      <c r="L72" s="46"/>
      <c r="M72" s="46"/>
      <c r="N72" s="46"/>
      <c r="O72" s="46"/>
      <c r="P72" s="46">
        <f t="shared" si="1"/>
        <v>1083250</v>
      </c>
    </row>
    <row r="73" spans="1:16" ht="15">
      <c r="A73" s="64">
        <v>10805</v>
      </c>
      <c r="B73" s="65" t="s">
        <v>498</v>
      </c>
      <c r="C73" s="63">
        <v>9000000</v>
      </c>
      <c r="D73" s="87"/>
      <c r="E73" s="46">
        <v>65475</v>
      </c>
      <c r="F73" s="46">
        <f>17410+133570+87370+971824+43410</f>
        <v>1253584</v>
      </c>
      <c r="G73" s="46">
        <f>38565+25000+25000+75000+181500+107000</f>
        <v>452065</v>
      </c>
      <c r="H73" s="46">
        <f>23500+40549+34609+55000+32900+32900+28840+97000+48369.5+23500+35840+23500+20770+11760+357000+67540</f>
        <v>933577.5</v>
      </c>
      <c r="I73" s="46">
        <f>23500+57370+57370+25000+25000+25000+25000+29120+33783+23380+25853+23500+23500+33783+192400+25885+23380+69720+31500</f>
        <v>774044</v>
      </c>
      <c r="J73" s="46"/>
      <c r="K73" s="46"/>
      <c r="L73" s="46"/>
      <c r="M73" s="46"/>
      <c r="N73" s="46"/>
      <c r="O73" s="46"/>
      <c r="P73" s="46">
        <f t="shared" si="1"/>
        <v>3478745.5</v>
      </c>
    </row>
    <row r="74" spans="1:16" ht="15">
      <c r="A74" s="64">
        <v>10806</v>
      </c>
      <c r="B74" s="65" t="s">
        <v>499</v>
      </c>
      <c r="C74" s="63">
        <v>1000000</v>
      </c>
      <c r="D74" s="87"/>
      <c r="E74" s="46">
        <v>0</v>
      </c>
      <c r="F74" s="46">
        <v>40000</v>
      </c>
      <c r="G74" s="46"/>
      <c r="H74" s="46"/>
      <c r="I74" s="46"/>
      <c r="J74" s="46"/>
      <c r="K74" s="46"/>
      <c r="L74" s="46"/>
      <c r="M74" s="46"/>
      <c r="N74" s="46"/>
      <c r="O74" s="46"/>
      <c r="P74" s="46">
        <f t="shared" si="1"/>
        <v>40000</v>
      </c>
    </row>
    <row r="75" spans="1:16" ht="15">
      <c r="A75" s="64">
        <v>10807</v>
      </c>
      <c r="B75" s="65" t="s">
        <v>500</v>
      </c>
      <c r="C75" s="63">
        <v>3500000</v>
      </c>
      <c r="D75" s="87"/>
      <c r="E75" s="46">
        <v>36117.15</v>
      </c>
      <c r="F75" s="46">
        <v>30900</v>
      </c>
      <c r="G75" s="46"/>
      <c r="H75" s="46">
        <v>39550</v>
      </c>
      <c r="I75" s="46"/>
      <c r="J75" s="46"/>
      <c r="K75" s="46"/>
      <c r="L75" s="46"/>
      <c r="M75" s="46"/>
      <c r="N75" s="46"/>
      <c r="O75" s="46"/>
      <c r="P75" s="46">
        <f t="shared" si="1"/>
        <v>106567.15</v>
      </c>
    </row>
    <row r="76" spans="1:16" ht="15">
      <c r="A76" s="64">
        <v>10808</v>
      </c>
      <c r="B76" s="65" t="s">
        <v>501</v>
      </c>
      <c r="C76" s="63">
        <v>2500000</v>
      </c>
      <c r="D76" s="87"/>
      <c r="E76" s="46">
        <v>43506.06</v>
      </c>
      <c r="F76" s="46"/>
      <c r="G76" s="46"/>
      <c r="H76" s="46">
        <v>15000</v>
      </c>
      <c r="I76" s="46"/>
      <c r="J76" s="46"/>
      <c r="K76" s="46"/>
      <c r="L76" s="46"/>
      <c r="M76" s="46"/>
      <c r="N76" s="46"/>
      <c r="O76" s="46"/>
      <c r="P76" s="46">
        <f t="shared" si="1"/>
        <v>58506.06</v>
      </c>
    </row>
    <row r="77" spans="1:16" ht="15">
      <c r="A77" s="64">
        <v>10899</v>
      </c>
      <c r="B77" s="65" t="s">
        <v>502</v>
      </c>
      <c r="C77" s="63">
        <v>150000</v>
      </c>
      <c r="D77" s="87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>
        <f t="shared" si="1"/>
        <v>0</v>
      </c>
    </row>
    <row r="78" spans="1:16" ht="15">
      <c r="A78" s="67">
        <v>109</v>
      </c>
      <c r="B78" s="62" t="s">
        <v>503</v>
      </c>
      <c r="C78" s="63"/>
      <c r="D78" s="87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>
        <f t="shared" si="1"/>
        <v>0</v>
      </c>
    </row>
    <row r="79" spans="1:16" ht="15">
      <c r="A79" s="64">
        <v>10999</v>
      </c>
      <c r="B79" s="65" t="s">
        <v>504</v>
      </c>
      <c r="C79" s="63">
        <v>600000</v>
      </c>
      <c r="D79" s="87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>
        <f t="shared" si="1"/>
        <v>0</v>
      </c>
    </row>
    <row r="80" spans="1:16" ht="15">
      <c r="A80" s="67">
        <v>199</v>
      </c>
      <c r="B80" s="62" t="s">
        <v>505</v>
      </c>
      <c r="C80" s="63"/>
      <c r="D80" s="87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>
        <f t="shared" si="1"/>
        <v>0</v>
      </c>
    </row>
    <row r="81" spans="1:16" ht="15">
      <c r="A81" s="64">
        <v>19905</v>
      </c>
      <c r="B81" s="65" t="s">
        <v>506</v>
      </c>
      <c r="C81" s="63">
        <v>500000</v>
      </c>
      <c r="D81" s="87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>
        <f t="shared" si="1"/>
        <v>0</v>
      </c>
    </row>
    <row r="82" spans="1:16" ht="15">
      <c r="A82" s="64">
        <v>19902</v>
      </c>
      <c r="B82" s="65" t="s">
        <v>507</v>
      </c>
      <c r="C82" s="63">
        <v>0</v>
      </c>
      <c r="D82" s="87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>
        <f t="shared" si="1"/>
        <v>0</v>
      </c>
    </row>
    <row r="83" spans="1:16" ht="15">
      <c r="A83" s="64">
        <v>19999</v>
      </c>
      <c r="B83" s="65" t="s">
        <v>508</v>
      </c>
      <c r="C83" s="63">
        <v>0</v>
      </c>
      <c r="D83" s="87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>
        <f t="shared" si="1"/>
        <v>0</v>
      </c>
    </row>
    <row r="84" spans="1:16" ht="15">
      <c r="A84" s="64"/>
      <c r="B84" s="65"/>
      <c r="C84" s="65"/>
      <c r="D84" s="87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>
        <f t="shared" si="1"/>
        <v>0</v>
      </c>
    </row>
    <row r="85" spans="1:16" ht="15">
      <c r="A85" s="64"/>
      <c r="B85" s="65"/>
      <c r="C85" s="63"/>
      <c r="D85" s="87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>
        <f t="shared" si="1"/>
        <v>0</v>
      </c>
    </row>
    <row r="86" spans="1:16" ht="15">
      <c r="A86" s="64"/>
      <c r="B86" s="65"/>
      <c r="C86" s="63"/>
      <c r="D86" s="87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>
        <f t="shared" si="1"/>
        <v>0</v>
      </c>
    </row>
    <row r="87" spans="1:16" ht="15">
      <c r="A87" s="58" t="s">
        <v>509</v>
      </c>
      <c r="B87" s="59" t="s">
        <v>510</v>
      </c>
      <c r="C87" s="60">
        <f>SUM(C89:C118)</f>
        <v>46400000</v>
      </c>
      <c r="D87" s="87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>
        <f t="shared" si="1"/>
        <v>0</v>
      </c>
    </row>
    <row r="88" spans="1:16" ht="15">
      <c r="A88" s="67">
        <v>201</v>
      </c>
      <c r="B88" s="62" t="s">
        <v>511</v>
      </c>
      <c r="C88" s="63"/>
      <c r="D88" s="87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>
        <f t="shared" si="1"/>
        <v>0</v>
      </c>
    </row>
    <row r="89" spans="1:16" ht="15">
      <c r="A89" s="64">
        <v>20101</v>
      </c>
      <c r="B89" s="65" t="s">
        <v>512</v>
      </c>
      <c r="C89" s="63">
        <v>12000000</v>
      </c>
      <c r="D89" s="87"/>
      <c r="E89" s="46">
        <v>16003</v>
      </c>
      <c r="F89" s="46">
        <v>8930</v>
      </c>
      <c r="G89" s="46"/>
      <c r="H89" s="46">
        <f>20000+196543</f>
        <v>216543</v>
      </c>
      <c r="I89" s="46">
        <f>552713+371639+2000000+15000</f>
        <v>2939352</v>
      </c>
      <c r="J89" s="46"/>
      <c r="K89" s="46"/>
      <c r="L89" s="46"/>
      <c r="M89" s="46"/>
      <c r="N89" s="46"/>
      <c r="O89" s="46"/>
      <c r="P89" s="46">
        <f t="shared" si="1"/>
        <v>3180828</v>
      </c>
    </row>
    <row r="90" spans="1:16" ht="15">
      <c r="A90" s="64">
        <v>20102</v>
      </c>
      <c r="B90" s="65" t="s">
        <v>513</v>
      </c>
      <c r="C90" s="63">
        <v>1000000</v>
      </c>
      <c r="D90" s="87"/>
      <c r="E90" s="46"/>
      <c r="F90" s="46"/>
      <c r="G90" s="46"/>
      <c r="H90" s="46">
        <v>133195.7</v>
      </c>
      <c r="I90" s="46">
        <f>22500+11529+250750</f>
        <v>284779</v>
      </c>
      <c r="J90" s="46"/>
      <c r="K90" s="46"/>
      <c r="L90" s="46"/>
      <c r="M90" s="46"/>
      <c r="N90" s="46"/>
      <c r="O90" s="46"/>
      <c r="P90" s="46">
        <f t="shared" si="1"/>
        <v>417974.7</v>
      </c>
    </row>
    <row r="91" spans="1:16" ht="15">
      <c r="A91" s="64">
        <v>20104</v>
      </c>
      <c r="B91" s="65" t="s">
        <v>514</v>
      </c>
      <c r="C91" s="63">
        <v>10000000</v>
      </c>
      <c r="D91" s="87"/>
      <c r="E91" s="46">
        <v>18700</v>
      </c>
      <c r="F91" s="46">
        <f>21900+10950</f>
        <v>32850</v>
      </c>
      <c r="G91" s="46"/>
      <c r="H91" s="46">
        <f>138855.55+84775+1310097.57+21050.01+897232.9+1570898.75+10660</f>
        <v>4033569.7800000003</v>
      </c>
      <c r="I91" s="46">
        <v>20950</v>
      </c>
      <c r="J91" s="46"/>
      <c r="K91" s="46"/>
      <c r="L91" s="46"/>
      <c r="M91" s="46"/>
      <c r="N91" s="46"/>
      <c r="O91" s="46"/>
      <c r="P91" s="46">
        <f t="shared" si="1"/>
        <v>4106069.7800000003</v>
      </c>
    </row>
    <row r="92" spans="1:16" ht="15">
      <c r="A92" s="64">
        <v>20199</v>
      </c>
      <c r="B92" s="65" t="s">
        <v>515</v>
      </c>
      <c r="C92" s="63">
        <v>200000</v>
      </c>
      <c r="D92" s="87"/>
      <c r="E92" s="46">
        <v>21600</v>
      </c>
      <c r="F92" s="46">
        <v>8200</v>
      </c>
      <c r="G92" s="46"/>
      <c r="H92" s="46"/>
      <c r="I92" s="46"/>
      <c r="J92" s="46"/>
      <c r="K92" s="46"/>
      <c r="L92" s="46"/>
      <c r="M92" s="46"/>
      <c r="N92" s="46"/>
      <c r="O92" s="46"/>
      <c r="P92" s="46">
        <f t="shared" si="1"/>
        <v>29800</v>
      </c>
    </row>
    <row r="93" spans="1:16" ht="15">
      <c r="A93" s="64"/>
      <c r="B93" s="65"/>
      <c r="C93" s="63"/>
      <c r="D93" s="87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>
        <f t="shared" si="1"/>
        <v>0</v>
      </c>
    </row>
    <row r="94" spans="1:16" ht="15">
      <c r="A94" s="64"/>
      <c r="B94" s="65"/>
      <c r="C94" s="63"/>
      <c r="D94" s="87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>
        <f t="shared" si="1"/>
        <v>0</v>
      </c>
    </row>
    <row r="95" spans="1:16" ht="15">
      <c r="A95" s="67">
        <v>202</v>
      </c>
      <c r="B95" s="62" t="s">
        <v>516</v>
      </c>
      <c r="C95" s="63"/>
      <c r="D95" s="87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>
        <f t="shared" si="1"/>
        <v>0</v>
      </c>
    </row>
    <row r="96" spans="1:16" ht="15">
      <c r="A96" s="64">
        <v>20201</v>
      </c>
      <c r="B96" s="65" t="s">
        <v>517</v>
      </c>
      <c r="C96" s="63">
        <v>0</v>
      </c>
      <c r="D96" s="87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>
        <f t="shared" si="1"/>
        <v>0</v>
      </c>
    </row>
    <row r="97" spans="1:16" ht="15">
      <c r="A97" s="64">
        <v>20202</v>
      </c>
      <c r="B97" s="65" t="s">
        <v>518</v>
      </c>
      <c r="C97" s="63">
        <v>0</v>
      </c>
      <c r="D97" s="87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>
        <f t="shared" si="1"/>
        <v>0</v>
      </c>
    </row>
    <row r="98" spans="1:16" ht="15">
      <c r="A98" s="64">
        <v>20203</v>
      </c>
      <c r="B98" s="65" t="s">
        <v>519</v>
      </c>
      <c r="C98" s="63">
        <v>1700000</v>
      </c>
      <c r="D98" s="87"/>
      <c r="E98" s="46">
        <v>28644.6</v>
      </c>
      <c r="F98" s="46">
        <f>3000+10644</f>
        <v>13644</v>
      </c>
      <c r="G98" s="46">
        <f>431250+81345+158008</f>
        <v>670603</v>
      </c>
      <c r="H98" s="46">
        <v>24374</v>
      </c>
      <c r="I98" s="46">
        <v>25644.6</v>
      </c>
      <c r="J98" s="46"/>
      <c r="K98" s="46"/>
      <c r="L98" s="46"/>
      <c r="M98" s="46"/>
      <c r="N98" s="46"/>
      <c r="O98" s="46"/>
      <c r="P98" s="46">
        <f t="shared" si="1"/>
        <v>762910.2</v>
      </c>
    </row>
    <row r="99" spans="1:16" ht="15">
      <c r="A99" s="67">
        <v>203</v>
      </c>
      <c r="B99" s="62" t="s">
        <v>520</v>
      </c>
      <c r="C99" s="63"/>
      <c r="D99" s="87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>
        <f t="shared" si="1"/>
        <v>0</v>
      </c>
    </row>
    <row r="100" spans="1:16" ht="15">
      <c r="A100" s="64">
        <v>20301</v>
      </c>
      <c r="B100" s="65" t="s">
        <v>521</v>
      </c>
      <c r="C100" s="63">
        <v>200000</v>
      </c>
      <c r="D100" s="87"/>
      <c r="E100" s="46">
        <v>5500</v>
      </c>
      <c r="F100" s="46">
        <v>19485</v>
      </c>
      <c r="G100" s="46"/>
      <c r="H100" s="46">
        <v>21714.75</v>
      </c>
      <c r="I100" s="46">
        <f>32900+21535</f>
        <v>54435</v>
      </c>
      <c r="J100" s="46"/>
      <c r="K100" s="46"/>
      <c r="L100" s="46"/>
      <c r="M100" s="46"/>
      <c r="N100" s="46"/>
      <c r="O100" s="46"/>
      <c r="P100" s="46">
        <f t="shared" si="1"/>
        <v>101134.75</v>
      </c>
    </row>
    <row r="101" spans="1:16" ht="15">
      <c r="A101" s="64">
        <v>20302</v>
      </c>
      <c r="B101" s="65" t="s">
        <v>522</v>
      </c>
      <c r="C101" s="63">
        <v>200000</v>
      </c>
      <c r="D101" s="87"/>
      <c r="E101" s="46">
        <v>9547.45</v>
      </c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>
        <f t="shared" si="1"/>
        <v>9547.45</v>
      </c>
    </row>
    <row r="102" spans="1:16" ht="15">
      <c r="A102" s="64">
        <v>20303</v>
      </c>
      <c r="B102" s="65" t="s">
        <v>523</v>
      </c>
      <c r="C102" s="63">
        <v>150000</v>
      </c>
      <c r="D102" s="87"/>
      <c r="E102" s="46">
        <v>8100</v>
      </c>
      <c r="F102" s="46">
        <v>8100</v>
      </c>
      <c r="G102" s="46"/>
      <c r="H102" s="46"/>
      <c r="I102" s="46">
        <v>7100</v>
      </c>
      <c r="J102" s="46"/>
      <c r="K102" s="46"/>
      <c r="L102" s="46"/>
      <c r="M102" s="46"/>
      <c r="N102" s="46"/>
      <c r="O102" s="46"/>
      <c r="P102" s="46">
        <f t="shared" si="1"/>
        <v>23300</v>
      </c>
    </row>
    <row r="103" spans="1:16" ht="15">
      <c r="A103" s="64">
        <v>20304</v>
      </c>
      <c r="B103" s="65" t="s">
        <v>524</v>
      </c>
      <c r="C103" s="63">
        <v>4200000</v>
      </c>
      <c r="D103" s="87"/>
      <c r="E103" s="46">
        <v>328652.12</v>
      </c>
      <c r="F103" s="46">
        <f>850+9900</f>
        <v>10750</v>
      </c>
      <c r="G103" s="46"/>
      <c r="H103" s="46">
        <f>27263.32+2050</f>
        <v>29313.32</v>
      </c>
      <c r="I103" s="46">
        <v>18910</v>
      </c>
      <c r="J103" s="46"/>
      <c r="K103" s="46"/>
      <c r="L103" s="46"/>
      <c r="M103" s="46"/>
      <c r="N103" s="46"/>
      <c r="O103" s="46"/>
      <c r="P103" s="46">
        <f t="shared" si="1"/>
        <v>387625.44</v>
      </c>
    </row>
    <row r="104" spans="1:16" ht="15">
      <c r="A104" s="64">
        <v>20305</v>
      </c>
      <c r="B104" s="65" t="s">
        <v>525</v>
      </c>
      <c r="C104" s="63">
        <v>50000</v>
      </c>
      <c r="D104" s="87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>
        <f t="shared" si="1"/>
        <v>0</v>
      </c>
    </row>
    <row r="105" spans="1:16" ht="15">
      <c r="A105" s="64">
        <v>20306</v>
      </c>
      <c r="B105" s="65" t="s">
        <v>526</v>
      </c>
      <c r="C105" s="63">
        <v>700000</v>
      </c>
      <c r="D105" s="87"/>
      <c r="E105" s="46"/>
      <c r="F105" s="46">
        <v>32250</v>
      </c>
      <c r="G105" s="46"/>
      <c r="H105" s="46">
        <v>22000</v>
      </c>
      <c r="I105" s="46">
        <v>8625</v>
      </c>
      <c r="J105" s="46"/>
      <c r="K105" s="46"/>
      <c r="L105" s="46"/>
      <c r="M105" s="46"/>
      <c r="N105" s="46"/>
      <c r="O105" s="46"/>
      <c r="P105" s="46">
        <f t="shared" si="1"/>
        <v>62875</v>
      </c>
    </row>
    <row r="106" spans="1:16" ht="15">
      <c r="A106" s="64">
        <v>20399</v>
      </c>
      <c r="B106" s="65" t="s">
        <v>527</v>
      </c>
      <c r="C106" s="63">
        <v>600000</v>
      </c>
      <c r="D106" s="87"/>
      <c r="E106" s="46">
        <v>10200</v>
      </c>
      <c r="F106" s="46">
        <v>1215</v>
      </c>
      <c r="G106" s="46"/>
      <c r="H106" s="46">
        <f>10000+17000</f>
        <v>27000</v>
      </c>
      <c r="I106" s="46">
        <v>9645</v>
      </c>
      <c r="J106" s="46"/>
      <c r="K106" s="46"/>
      <c r="L106" s="46"/>
      <c r="M106" s="46"/>
      <c r="N106" s="46"/>
      <c r="O106" s="46"/>
      <c r="P106" s="46">
        <f t="shared" si="1"/>
        <v>48060</v>
      </c>
    </row>
    <row r="107" spans="1:16" ht="15">
      <c r="A107" s="67">
        <v>204</v>
      </c>
      <c r="B107" s="62" t="s">
        <v>528</v>
      </c>
      <c r="C107" s="63"/>
      <c r="D107" s="87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>
        <f t="shared" si="1"/>
        <v>0</v>
      </c>
    </row>
    <row r="108" spans="1:16" ht="15">
      <c r="A108" s="64">
        <v>20401</v>
      </c>
      <c r="B108" s="65" t="s">
        <v>529</v>
      </c>
      <c r="C108" s="63">
        <v>1000000</v>
      </c>
      <c r="D108" s="87"/>
      <c r="E108" s="46">
        <v>16314</v>
      </c>
      <c r="F108" s="46">
        <v>4000</v>
      </c>
      <c r="G108" s="46"/>
      <c r="H108" s="46">
        <v>13435</v>
      </c>
      <c r="I108" s="46">
        <v>9300</v>
      </c>
      <c r="J108" s="46"/>
      <c r="K108" s="46"/>
      <c r="L108" s="46"/>
      <c r="M108" s="46"/>
      <c r="N108" s="46"/>
      <c r="O108" s="46"/>
      <c r="P108" s="46">
        <f t="shared" si="1"/>
        <v>43049</v>
      </c>
    </row>
    <row r="109" spans="1:16" ht="15">
      <c r="A109" s="64">
        <v>20402</v>
      </c>
      <c r="B109" s="65" t="s">
        <v>530</v>
      </c>
      <c r="C109" s="63">
        <v>2000000</v>
      </c>
      <c r="D109" s="87"/>
      <c r="E109" s="46">
        <v>92868.35</v>
      </c>
      <c r="F109" s="46">
        <f>17580+27600</f>
        <v>45180</v>
      </c>
      <c r="G109" s="46"/>
      <c r="H109" s="46">
        <f>7600+23054.84</f>
        <v>30654.84</v>
      </c>
      <c r="I109" s="46">
        <v>12995</v>
      </c>
      <c r="J109" s="46"/>
      <c r="K109" s="46"/>
      <c r="L109" s="46"/>
      <c r="M109" s="46"/>
      <c r="N109" s="46"/>
      <c r="O109" s="46"/>
      <c r="P109" s="46">
        <f t="shared" si="1"/>
        <v>181698.19</v>
      </c>
    </row>
    <row r="110" spans="1:16" ht="15">
      <c r="A110" s="67">
        <v>299</v>
      </c>
      <c r="B110" s="62" t="s">
        <v>531</v>
      </c>
      <c r="C110" s="63"/>
      <c r="D110" s="87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>
        <f t="shared" si="1"/>
        <v>0</v>
      </c>
    </row>
    <row r="111" spans="1:16" ht="15">
      <c r="A111" s="64">
        <v>29901</v>
      </c>
      <c r="B111" s="65" t="s">
        <v>532</v>
      </c>
      <c r="C111" s="63">
        <f>1300000+4500000-3800000</f>
        <v>2000000</v>
      </c>
      <c r="D111" s="87"/>
      <c r="E111" s="46"/>
      <c r="F111" s="46">
        <f>17275+3100</f>
        <v>20375</v>
      </c>
      <c r="G111" s="46"/>
      <c r="H111" s="46">
        <f>8255+446000</f>
        <v>454255</v>
      </c>
      <c r="I111" s="46">
        <v>455544.93</v>
      </c>
      <c r="J111" s="46"/>
      <c r="K111" s="46"/>
      <c r="L111" s="46"/>
      <c r="M111" s="46"/>
      <c r="N111" s="46"/>
      <c r="O111" s="46"/>
      <c r="P111" s="46">
        <f t="shared" si="1"/>
        <v>930174.9299999999</v>
      </c>
    </row>
    <row r="112" spans="1:16" ht="15">
      <c r="A112" s="64">
        <v>29902</v>
      </c>
      <c r="B112" s="65" t="s">
        <v>533</v>
      </c>
      <c r="C112" s="63">
        <v>350000</v>
      </c>
      <c r="D112" s="87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>
        <f t="shared" si="1"/>
        <v>0</v>
      </c>
    </row>
    <row r="113" spans="1:16" ht="15">
      <c r="A113" s="64">
        <v>29903</v>
      </c>
      <c r="B113" s="65" t="s">
        <v>534</v>
      </c>
      <c r="C113" s="63">
        <v>7000000</v>
      </c>
      <c r="D113" s="87">
        <f>500000+252000</f>
        <v>752000</v>
      </c>
      <c r="E113" s="46">
        <v>761655.34</v>
      </c>
      <c r="F113" s="46">
        <v>2495</v>
      </c>
      <c r="G113" s="46"/>
      <c r="H113" s="46">
        <f>4000+1200</f>
        <v>5200</v>
      </c>
      <c r="I113" s="46">
        <f>180000+101239.95+17385+61500</f>
        <v>360124.95</v>
      </c>
      <c r="J113" s="46"/>
      <c r="K113" s="46"/>
      <c r="L113" s="46"/>
      <c r="M113" s="46"/>
      <c r="N113" s="46"/>
      <c r="O113" s="46"/>
      <c r="P113" s="46">
        <f t="shared" si="1"/>
        <v>1881475.2899999998</v>
      </c>
    </row>
    <row r="114" spans="1:16" ht="15">
      <c r="A114" s="64">
        <v>29904</v>
      </c>
      <c r="B114" s="65" t="s">
        <v>535</v>
      </c>
      <c r="C114" s="63">
        <v>1350000</v>
      </c>
      <c r="D114" s="87"/>
      <c r="E114" s="46">
        <v>0</v>
      </c>
      <c r="F114" s="46"/>
      <c r="G114" s="46"/>
      <c r="H114" s="46">
        <v>28195</v>
      </c>
      <c r="I114" s="46">
        <f>418200+6495</f>
        <v>424695</v>
      </c>
      <c r="J114" s="46"/>
      <c r="K114" s="46"/>
      <c r="L114" s="46"/>
      <c r="M114" s="46"/>
      <c r="N114" s="46"/>
      <c r="O114" s="46"/>
      <c r="P114" s="46">
        <f t="shared" si="1"/>
        <v>452890</v>
      </c>
    </row>
    <row r="115" spans="1:16" ht="15">
      <c r="A115" s="64">
        <v>29905</v>
      </c>
      <c r="B115" s="65" t="s">
        <v>536</v>
      </c>
      <c r="C115" s="63">
        <v>1000000</v>
      </c>
      <c r="D115" s="87"/>
      <c r="E115" s="46">
        <v>7700</v>
      </c>
      <c r="F115" s="46">
        <v>785</v>
      </c>
      <c r="G115" s="46"/>
      <c r="H115" s="46">
        <v>8440</v>
      </c>
      <c r="I115" s="46">
        <v>3850</v>
      </c>
      <c r="J115" s="46"/>
      <c r="K115" s="46"/>
      <c r="L115" s="46"/>
      <c r="M115" s="46"/>
      <c r="N115" s="46"/>
      <c r="O115" s="46"/>
      <c r="P115" s="46">
        <f t="shared" si="1"/>
        <v>20775</v>
      </c>
    </row>
    <row r="116" spans="1:16" ht="15">
      <c r="A116" s="64">
        <v>29906</v>
      </c>
      <c r="B116" s="65" t="s">
        <v>537</v>
      </c>
      <c r="C116" s="63">
        <v>200000</v>
      </c>
      <c r="D116" s="87">
        <v>56000</v>
      </c>
      <c r="E116" s="46">
        <v>15537.5</v>
      </c>
      <c r="F116" s="46"/>
      <c r="G116" s="46"/>
      <c r="H116" s="46">
        <v>53100</v>
      </c>
      <c r="I116" s="46"/>
      <c r="J116" s="46"/>
      <c r="K116" s="46"/>
      <c r="L116" s="46"/>
      <c r="M116" s="46"/>
      <c r="N116" s="46"/>
      <c r="O116" s="46"/>
      <c r="P116" s="46">
        <f t="shared" si="1"/>
        <v>124637.5</v>
      </c>
    </row>
    <row r="117" spans="1:16" ht="15">
      <c r="A117" s="64">
        <v>29907</v>
      </c>
      <c r="B117" s="65" t="s">
        <v>538</v>
      </c>
      <c r="C117" s="63">
        <v>300000</v>
      </c>
      <c r="D117" s="87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>
        <f t="shared" si="1"/>
        <v>0</v>
      </c>
    </row>
    <row r="118" spans="1:16" ht="15">
      <c r="A118" s="64">
        <v>29999</v>
      </c>
      <c r="B118" s="65" t="s">
        <v>539</v>
      </c>
      <c r="C118" s="63">
        <v>200000</v>
      </c>
      <c r="D118" s="87"/>
      <c r="E118" s="46"/>
      <c r="F118" s="46">
        <v>7200</v>
      </c>
      <c r="G118" s="46"/>
      <c r="H118" s="46">
        <v>35990</v>
      </c>
      <c r="I118" s="46">
        <f>25000+800</f>
        <v>25800</v>
      </c>
      <c r="J118" s="46"/>
      <c r="K118" s="46"/>
      <c r="L118" s="46"/>
      <c r="M118" s="46"/>
      <c r="N118" s="46"/>
      <c r="O118" s="46"/>
      <c r="P118" s="46">
        <f t="shared" si="1"/>
        <v>68990</v>
      </c>
    </row>
    <row r="119" spans="1:16" ht="15">
      <c r="A119" s="64"/>
      <c r="B119" s="65"/>
      <c r="C119" s="63"/>
      <c r="D119" s="87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>
        <f t="shared" si="1"/>
        <v>0</v>
      </c>
    </row>
    <row r="120" spans="1:16" ht="15">
      <c r="A120" s="58" t="s">
        <v>540</v>
      </c>
      <c r="B120" s="59" t="s">
        <v>541</v>
      </c>
      <c r="C120" s="60">
        <f>SUM(C122:C136)</f>
        <v>218551000</v>
      </c>
      <c r="D120" s="87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>
        <f t="shared" si="1"/>
        <v>0</v>
      </c>
    </row>
    <row r="121" spans="1:16" ht="15">
      <c r="A121" s="67">
        <v>501</v>
      </c>
      <c r="B121" s="62" t="s">
        <v>542</v>
      </c>
      <c r="C121" s="63"/>
      <c r="D121" s="87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>
        <f t="shared" si="1"/>
        <v>0</v>
      </c>
    </row>
    <row r="122" spans="1:16" ht="15">
      <c r="A122" s="64">
        <v>50102</v>
      </c>
      <c r="B122" s="65" t="s">
        <v>543</v>
      </c>
      <c r="C122" s="63">
        <v>50000000</v>
      </c>
      <c r="D122" s="87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>
        <f t="shared" si="1"/>
        <v>0</v>
      </c>
    </row>
    <row r="123" spans="1:16" ht="15">
      <c r="A123" s="64">
        <v>50103</v>
      </c>
      <c r="B123" s="65" t="s">
        <v>544</v>
      </c>
      <c r="C123" s="63">
        <v>2000000</v>
      </c>
      <c r="D123" s="87"/>
      <c r="E123" s="46"/>
      <c r="F123" s="46"/>
      <c r="G123" s="46"/>
      <c r="H123" s="46">
        <v>30500.21</v>
      </c>
      <c r="I123" s="46"/>
      <c r="J123" s="46"/>
      <c r="K123" s="46"/>
      <c r="L123" s="46"/>
      <c r="M123" s="46"/>
      <c r="N123" s="46"/>
      <c r="O123" s="46"/>
      <c r="P123" s="46">
        <f t="shared" si="1"/>
        <v>30500.21</v>
      </c>
    </row>
    <row r="124" spans="1:16" ht="15">
      <c r="A124" s="64">
        <v>50104</v>
      </c>
      <c r="B124" s="65" t="s">
        <v>545</v>
      </c>
      <c r="C124" s="63">
        <v>25500000</v>
      </c>
      <c r="D124" s="87"/>
      <c r="E124" s="46"/>
      <c r="F124" s="46"/>
      <c r="G124" s="46"/>
      <c r="H124" s="46"/>
      <c r="I124" s="46">
        <f>279000+247815</f>
        <v>526815</v>
      </c>
      <c r="J124" s="46"/>
      <c r="K124" s="46"/>
      <c r="L124" s="46"/>
      <c r="M124" s="46"/>
      <c r="N124" s="46"/>
      <c r="O124" s="46"/>
      <c r="P124" s="46">
        <f t="shared" si="1"/>
        <v>526815</v>
      </c>
    </row>
    <row r="125" spans="1:16" ht="15">
      <c r="A125" s="64">
        <v>50105</v>
      </c>
      <c r="B125" s="65" t="s">
        <v>546</v>
      </c>
      <c r="C125" s="63">
        <v>55200000</v>
      </c>
      <c r="D125" s="87"/>
      <c r="E125" s="46"/>
      <c r="F125" s="46"/>
      <c r="G125" s="46"/>
      <c r="H125" s="46">
        <v>7315571.55</v>
      </c>
      <c r="I125" s="46"/>
      <c r="J125" s="46"/>
      <c r="K125" s="46"/>
      <c r="L125" s="46"/>
      <c r="M125" s="46"/>
      <c r="N125" s="46"/>
      <c r="O125" s="46"/>
      <c r="P125" s="46">
        <f t="shared" si="1"/>
        <v>7315571.55</v>
      </c>
    </row>
    <row r="126" spans="1:16" ht="15">
      <c r="A126" s="64">
        <v>50106</v>
      </c>
      <c r="B126" s="65" t="s">
        <v>547</v>
      </c>
      <c r="C126" s="63">
        <v>500000</v>
      </c>
      <c r="D126" s="87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>
        <f t="shared" si="1"/>
        <v>0</v>
      </c>
    </row>
    <row r="127" spans="1:16" ht="15">
      <c r="A127" s="64">
        <v>50107</v>
      </c>
      <c r="B127" s="65" t="s">
        <v>548</v>
      </c>
      <c r="C127" s="63">
        <v>0</v>
      </c>
      <c r="D127" s="87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>
        <f t="shared" si="1"/>
        <v>0</v>
      </c>
    </row>
    <row r="128" spans="1:16" ht="15">
      <c r="A128" s="64">
        <v>50199</v>
      </c>
      <c r="B128" s="65" t="s">
        <v>549</v>
      </c>
      <c r="C128" s="63">
        <v>3351000</v>
      </c>
      <c r="D128" s="87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>
        <f t="shared" si="1"/>
        <v>0</v>
      </c>
    </row>
    <row r="129" spans="1:16" ht="15">
      <c r="A129" s="67">
        <v>502</v>
      </c>
      <c r="B129" s="62" t="s">
        <v>550</v>
      </c>
      <c r="C129" s="63"/>
      <c r="D129" s="87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>
        <f t="shared" si="1"/>
        <v>0</v>
      </c>
    </row>
    <row r="130" spans="1:16" ht="15">
      <c r="A130" s="64">
        <v>50201</v>
      </c>
      <c r="B130" s="65" t="s">
        <v>551</v>
      </c>
      <c r="C130" s="63">
        <v>30000000</v>
      </c>
      <c r="D130" s="87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>
        <f t="shared" si="1"/>
        <v>0</v>
      </c>
    </row>
    <row r="131" spans="1:16" ht="15">
      <c r="A131" s="64">
        <v>50207</v>
      </c>
      <c r="B131" s="65" t="s">
        <v>552</v>
      </c>
      <c r="C131" s="63">
        <v>45000000</v>
      </c>
      <c r="D131" s="87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>
        <f t="shared" si="1"/>
        <v>0</v>
      </c>
    </row>
    <row r="132" spans="1:16" ht="15">
      <c r="A132" s="64">
        <v>50299</v>
      </c>
      <c r="B132" s="65" t="s">
        <v>553</v>
      </c>
      <c r="C132" s="63">
        <v>0</v>
      </c>
      <c r="D132" s="87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>
        <f t="shared" si="1"/>
        <v>0</v>
      </c>
    </row>
    <row r="133" spans="1:16" ht="15">
      <c r="A133" s="64"/>
      <c r="B133" s="65"/>
      <c r="C133" s="63"/>
      <c r="D133" s="87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>
        <f t="shared" si="1"/>
        <v>0</v>
      </c>
    </row>
    <row r="134" spans="1:16" ht="15">
      <c r="A134" s="67">
        <v>599</v>
      </c>
      <c r="B134" s="62" t="s">
        <v>554</v>
      </c>
      <c r="C134" s="63"/>
      <c r="D134" s="87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>
        <f aca="true" t="shared" si="2" ref="P134:P151">SUM(D134:O134)</f>
        <v>0</v>
      </c>
    </row>
    <row r="135" spans="1:16" ht="15">
      <c r="A135" s="64">
        <v>59903</v>
      </c>
      <c r="B135" s="65" t="s">
        <v>555</v>
      </c>
      <c r="C135" s="63">
        <v>7000000</v>
      </c>
      <c r="D135" s="87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>
        <f t="shared" si="2"/>
        <v>0</v>
      </c>
    </row>
    <row r="136" spans="1:16" ht="15">
      <c r="A136" s="64">
        <v>59999</v>
      </c>
      <c r="B136" s="65" t="s">
        <v>556</v>
      </c>
      <c r="C136" s="63">
        <v>0</v>
      </c>
      <c r="D136" s="87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>
        <f t="shared" si="2"/>
        <v>0</v>
      </c>
    </row>
    <row r="137" spans="1:16" ht="15">
      <c r="A137" s="64"/>
      <c r="B137" s="65"/>
      <c r="C137" s="63"/>
      <c r="D137" s="87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>
        <f t="shared" si="2"/>
        <v>0</v>
      </c>
    </row>
    <row r="138" spans="1:16" ht="15">
      <c r="A138" s="58" t="s">
        <v>557</v>
      </c>
      <c r="B138" s="59" t="s">
        <v>558</v>
      </c>
      <c r="C138" s="60">
        <f>SUM(C140:C153)</f>
        <v>89193000</v>
      </c>
      <c r="D138" s="87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>
        <f t="shared" si="2"/>
        <v>0</v>
      </c>
    </row>
    <row r="139" spans="1:16" ht="15">
      <c r="A139" s="67">
        <v>601</v>
      </c>
      <c r="B139" s="62" t="s">
        <v>559</v>
      </c>
      <c r="C139" s="63"/>
      <c r="D139" s="87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>
        <f t="shared" si="2"/>
        <v>0</v>
      </c>
    </row>
    <row r="140" spans="1:16" ht="15">
      <c r="A140" s="64">
        <v>60103</v>
      </c>
      <c r="B140" s="65" t="s">
        <v>560</v>
      </c>
      <c r="C140" s="63">
        <v>50193000</v>
      </c>
      <c r="D140" s="87">
        <v>1862177.74</v>
      </c>
      <c r="E140" s="46">
        <v>4062270.13</v>
      </c>
      <c r="F140" s="46">
        <f>6693054.32+1361389.91+11588669.93</f>
        <v>19643114.16</v>
      </c>
      <c r="G140" s="46">
        <v>4031616.64</v>
      </c>
      <c r="H140" s="46">
        <f>3375184.06+686520.54+3359494.35+683417.05</f>
        <v>8104616</v>
      </c>
      <c r="I140" s="46"/>
      <c r="J140" s="46"/>
      <c r="K140" s="46"/>
      <c r="L140" s="46"/>
      <c r="M140" s="46"/>
      <c r="N140" s="46"/>
      <c r="O140" s="46"/>
      <c r="P140" s="46">
        <f t="shared" si="2"/>
        <v>37703794.67</v>
      </c>
    </row>
    <row r="141" spans="1:16" ht="15">
      <c r="A141" s="67">
        <v>602</v>
      </c>
      <c r="B141" s="62" t="s">
        <v>561</v>
      </c>
      <c r="C141" s="63">
        <v>0</v>
      </c>
      <c r="D141" s="87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>
        <f t="shared" si="2"/>
        <v>0</v>
      </c>
    </row>
    <row r="142" spans="1:16" ht="15">
      <c r="A142" s="64">
        <v>60201</v>
      </c>
      <c r="B142" s="65" t="s">
        <v>562</v>
      </c>
      <c r="C142" s="63">
        <f>2000000-1000000-1000000</f>
        <v>0</v>
      </c>
      <c r="D142" s="87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>
        <f t="shared" si="2"/>
        <v>0</v>
      </c>
    </row>
    <row r="143" spans="1:16" ht="15">
      <c r="A143" s="64">
        <v>60202</v>
      </c>
      <c r="B143" s="65" t="s">
        <v>563</v>
      </c>
      <c r="C143" s="63">
        <v>500000</v>
      </c>
      <c r="D143" s="87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>
        <f t="shared" si="2"/>
        <v>0</v>
      </c>
    </row>
    <row r="144" spans="1:16" ht="15">
      <c r="A144" s="64">
        <v>60299</v>
      </c>
      <c r="B144" s="65" t="s">
        <v>564</v>
      </c>
      <c r="C144" s="63">
        <v>0</v>
      </c>
      <c r="D144" s="87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>
        <f t="shared" si="2"/>
        <v>0</v>
      </c>
    </row>
    <row r="145" spans="1:16" ht="15">
      <c r="A145" s="67">
        <v>603</v>
      </c>
      <c r="B145" s="62" t="s">
        <v>565</v>
      </c>
      <c r="C145" s="63"/>
      <c r="D145" s="87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>
        <f t="shared" si="2"/>
        <v>0</v>
      </c>
    </row>
    <row r="146" spans="1:16" ht="15">
      <c r="A146" s="64">
        <v>60301</v>
      </c>
      <c r="B146" s="65" t="s">
        <v>566</v>
      </c>
      <c r="C146" s="63">
        <v>18000000</v>
      </c>
      <c r="D146" s="87">
        <v>551112.9</v>
      </c>
      <c r="E146" s="46"/>
      <c r="F146" s="46"/>
      <c r="G146" s="46"/>
      <c r="H146" s="46">
        <f>401609.3+5955969.83</f>
        <v>6357579.13</v>
      </c>
      <c r="I146" s="46"/>
      <c r="J146" s="46"/>
      <c r="K146" s="46"/>
      <c r="L146" s="46"/>
      <c r="M146" s="46"/>
      <c r="N146" s="46"/>
      <c r="O146" s="46"/>
      <c r="P146" s="46">
        <f t="shared" si="2"/>
        <v>6908692.03</v>
      </c>
    </row>
    <row r="147" spans="1:16" ht="15">
      <c r="A147" s="64">
        <v>60399</v>
      </c>
      <c r="B147" s="65" t="s">
        <v>567</v>
      </c>
      <c r="C147" s="63">
        <v>17000000</v>
      </c>
      <c r="D147" s="87">
        <f>636306+426880</f>
        <v>1063186</v>
      </c>
      <c r="E147" s="46">
        <v>1710651.24</v>
      </c>
      <c r="F147" s="46">
        <f>1168285+839075</f>
        <v>2007360</v>
      </c>
      <c r="G147" s="46">
        <f>1023373+1052809</f>
        <v>2076182</v>
      </c>
      <c r="H147" s="46">
        <f>1574385+1439076</f>
        <v>3013461</v>
      </c>
      <c r="I147" s="46">
        <f>1388040.33+459641</f>
        <v>1847681.33</v>
      </c>
      <c r="J147" s="46"/>
      <c r="K147" s="46"/>
      <c r="L147" s="46"/>
      <c r="M147" s="46"/>
      <c r="N147" s="46"/>
      <c r="O147" s="46"/>
      <c r="P147" s="46">
        <f t="shared" si="2"/>
        <v>11718521.57</v>
      </c>
    </row>
    <row r="148" spans="1:16" ht="15">
      <c r="A148" s="67">
        <v>604</v>
      </c>
      <c r="B148" s="62" t="s">
        <v>568</v>
      </c>
      <c r="C148" s="63" t="s">
        <v>309</v>
      </c>
      <c r="D148" s="87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6">
        <f t="shared" si="2"/>
        <v>0</v>
      </c>
    </row>
    <row r="149" spans="1:16" ht="15">
      <c r="A149" s="64">
        <v>60402</v>
      </c>
      <c r="B149" s="65" t="s">
        <v>569</v>
      </c>
      <c r="C149" s="63">
        <v>0</v>
      </c>
      <c r="D149" s="87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6">
        <f t="shared" si="2"/>
        <v>0</v>
      </c>
    </row>
    <row r="150" spans="1:16" ht="15">
      <c r="A150" s="67">
        <v>606</v>
      </c>
      <c r="B150" s="62" t="s">
        <v>570</v>
      </c>
      <c r="C150" s="63"/>
      <c r="D150" s="85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>
        <f t="shared" si="2"/>
        <v>0</v>
      </c>
    </row>
    <row r="151" spans="1:16" ht="15">
      <c r="A151" s="64">
        <v>60601</v>
      </c>
      <c r="B151" s="65" t="s">
        <v>571</v>
      </c>
      <c r="C151" s="63">
        <v>500000</v>
      </c>
      <c r="D151" s="85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>
        <f t="shared" si="2"/>
        <v>0</v>
      </c>
    </row>
    <row r="152" spans="1:16" ht="15">
      <c r="A152" s="67">
        <v>607</v>
      </c>
      <c r="B152" s="62" t="s">
        <v>574</v>
      </c>
      <c r="C152" s="63"/>
      <c r="D152" s="85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</row>
    <row r="153" spans="1:16" ht="15">
      <c r="A153" s="64">
        <v>60701</v>
      </c>
      <c r="B153" s="65" t="s">
        <v>575</v>
      </c>
      <c r="C153" s="63">
        <v>3000000</v>
      </c>
      <c r="D153" s="85"/>
      <c r="E153" s="46">
        <v>2810465.85</v>
      </c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</row>
    <row r="154" spans="1:16" ht="15.75" thickBot="1">
      <c r="A154" s="64"/>
      <c r="B154" s="65"/>
      <c r="C154" s="63"/>
      <c r="D154" s="85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</row>
    <row r="155" spans="1:16" ht="15.75" thickBot="1">
      <c r="A155" s="65"/>
      <c r="B155" s="68" t="s">
        <v>576</v>
      </c>
      <c r="C155" s="69">
        <f>+C138+C120+C87+C31+C4</f>
        <v>6134000000</v>
      </c>
      <c r="D155" s="88">
        <f>SUM(D4:D153)</f>
        <v>626071714.8599999</v>
      </c>
      <c r="E155" s="88">
        <f>SUM(E4:E153)</f>
        <v>438576852.99</v>
      </c>
      <c r="F155" s="70">
        <f aca="true" t="shared" si="3" ref="F155:O155">SUM(F6:F151)</f>
        <v>390293949.24000007</v>
      </c>
      <c r="G155" s="70">
        <f t="shared" si="3"/>
        <v>359786996.72</v>
      </c>
      <c r="H155" s="70">
        <f t="shared" si="3"/>
        <v>401689846.21</v>
      </c>
      <c r="I155" s="70">
        <f t="shared" si="3"/>
        <v>381604433.01</v>
      </c>
      <c r="J155" s="70">
        <f t="shared" si="3"/>
        <v>0</v>
      </c>
      <c r="K155" s="70">
        <f>SUM(K6:K154)</f>
        <v>0</v>
      </c>
      <c r="L155" s="70">
        <f t="shared" si="3"/>
        <v>0</v>
      </c>
      <c r="M155" s="70">
        <f t="shared" si="3"/>
        <v>0</v>
      </c>
      <c r="N155" s="70">
        <f t="shared" si="3"/>
        <v>0</v>
      </c>
      <c r="O155" s="70">
        <f t="shared" si="3"/>
        <v>0</v>
      </c>
      <c r="P155" s="46">
        <f>SUM(D155:O155)</f>
        <v>2598023793.0299997</v>
      </c>
    </row>
    <row r="156" spans="3:16" ht="15">
      <c r="C156" s="71"/>
      <c r="D156" s="87" t="s">
        <v>309</v>
      </c>
      <c r="E156" s="46" t="s">
        <v>309</v>
      </c>
      <c r="F156" s="46"/>
      <c r="G156" s="46"/>
      <c r="H156" s="46" t="s">
        <v>309</v>
      </c>
      <c r="I156" s="46" t="s">
        <v>309</v>
      </c>
      <c r="J156" s="46" t="s">
        <v>309</v>
      </c>
      <c r="K156" s="46"/>
      <c r="L156" s="46" t="s">
        <v>309</v>
      </c>
      <c r="M156" s="46" t="s">
        <v>309</v>
      </c>
      <c r="N156" s="46"/>
      <c r="O156" s="46"/>
      <c r="P156" s="46"/>
    </row>
    <row r="157" spans="3:16" ht="15">
      <c r="C157" s="71"/>
      <c r="D157" s="87" t="s">
        <v>309</v>
      </c>
      <c r="E157" s="46" t="s">
        <v>309</v>
      </c>
      <c r="F157" s="46" t="s">
        <v>309</v>
      </c>
      <c r="G157" s="46" t="s">
        <v>309</v>
      </c>
      <c r="H157" s="46" t="s">
        <v>309</v>
      </c>
      <c r="I157" s="46" t="s">
        <v>309</v>
      </c>
      <c r="J157" s="46" t="s">
        <v>309</v>
      </c>
      <c r="K157" s="46" t="s">
        <v>309</v>
      </c>
      <c r="L157" s="46" t="s">
        <v>309</v>
      </c>
      <c r="M157" s="46" t="s">
        <v>309</v>
      </c>
      <c r="N157" s="46" t="s">
        <v>309</v>
      </c>
      <c r="O157" s="46" t="s">
        <v>309</v>
      </c>
      <c r="P157" s="72">
        <f>SUM(D155:O155)</f>
        <v>2598023793.0299997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W227"/>
  <sheetViews>
    <sheetView zoomScalePageLayoutView="0" workbookViewId="0" topLeftCell="A4">
      <selection activeCell="C15" sqref="C15"/>
    </sheetView>
  </sheetViews>
  <sheetFormatPr defaultColWidth="11.421875" defaultRowHeight="15"/>
  <cols>
    <col min="1" max="1" width="38.28125" style="0" bestFit="1" customWidth="1"/>
    <col min="2" max="2" width="12.00390625" style="0" customWidth="1"/>
    <col min="3" max="3" width="20.00390625" style="0" bestFit="1" customWidth="1"/>
    <col min="4" max="4" width="47.421875" style="0" bestFit="1" customWidth="1"/>
    <col min="5" max="5" width="173.57421875" style="0" bestFit="1" customWidth="1"/>
  </cols>
  <sheetData>
    <row r="1" spans="1:6" ht="15">
      <c r="A1" s="73"/>
      <c r="B1" s="74"/>
      <c r="C1" s="48"/>
      <c r="D1" s="48"/>
      <c r="E1" s="48"/>
      <c r="F1" s="46"/>
    </row>
    <row r="2" spans="1:6" ht="15">
      <c r="A2" s="68"/>
      <c r="B2" s="74"/>
      <c r="C2" s="48"/>
      <c r="D2" s="48"/>
      <c r="E2" s="80"/>
      <c r="F2" s="46"/>
    </row>
    <row r="3" spans="1:6" ht="15">
      <c r="A3" s="68"/>
      <c r="B3" s="74"/>
      <c r="C3" s="48"/>
      <c r="D3" s="48"/>
      <c r="E3" s="80"/>
      <c r="F3" s="46"/>
    </row>
    <row r="4" spans="1:23" ht="15">
      <c r="A4" s="73" t="s">
        <v>584</v>
      </c>
      <c r="B4" s="74"/>
      <c r="C4" s="48"/>
      <c r="D4" s="48"/>
      <c r="E4" s="48"/>
      <c r="F4" s="46"/>
      <c r="G4" s="46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</row>
    <row r="5" spans="1:23" ht="15">
      <c r="A5" s="68" t="s">
        <v>2</v>
      </c>
      <c r="B5" s="74"/>
      <c r="C5" s="48"/>
      <c r="D5" s="48"/>
      <c r="E5" s="80"/>
      <c r="F5" s="46"/>
      <c r="G5" s="46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</row>
    <row r="6" spans="1:23" ht="15">
      <c r="A6" s="68" t="s">
        <v>585</v>
      </c>
      <c r="B6" s="74"/>
      <c r="C6" s="48"/>
      <c r="D6" s="48"/>
      <c r="E6" s="80"/>
      <c r="F6" s="46"/>
      <c r="G6" s="46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</row>
    <row r="7" spans="1:23" ht="15">
      <c r="A7" s="75" t="s">
        <v>309</v>
      </c>
      <c r="B7" s="76" t="s">
        <v>309</v>
      </c>
      <c r="C7" s="48"/>
      <c r="D7" s="48"/>
      <c r="E7" s="80"/>
      <c r="F7" s="46"/>
      <c r="G7" s="46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</row>
    <row r="8" spans="1:23" ht="15">
      <c r="A8" s="75" t="s">
        <v>3</v>
      </c>
      <c r="B8" s="76">
        <v>42887</v>
      </c>
      <c r="C8" s="77" t="s">
        <v>586</v>
      </c>
      <c r="D8" s="81" t="s">
        <v>611</v>
      </c>
      <c r="E8" s="80" t="s">
        <v>4</v>
      </c>
      <c r="F8" s="82">
        <v>57900</v>
      </c>
      <c r="G8" s="46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</row>
    <row r="9" spans="1:23" ht="15">
      <c r="A9" s="75" t="s">
        <v>5</v>
      </c>
      <c r="B9" s="76">
        <v>42887</v>
      </c>
      <c r="C9" s="77" t="s">
        <v>586</v>
      </c>
      <c r="D9" s="48" t="s">
        <v>6</v>
      </c>
      <c r="E9" s="81" t="s">
        <v>7</v>
      </c>
      <c r="F9" s="82">
        <v>50000</v>
      </c>
      <c r="G9" s="46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1:23" ht="15">
      <c r="A10" s="75" t="s">
        <v>8</v>
      </c>
      <c r="B10" s="76">
        <v>42887</v>
      </c>
      <c r="C10" s="77" t="s">
        <v>586</v>
      </c>
      <c r="D10" s="81" t="s">
        <v>9</v>
      </c>
      <c r="E10" s="80" t="s">
        <v>10</v>
      </c>
      <c r="F10" s="82">
        <v>30000</v>
      </c>
      <c r="G10" s="46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</row>
    <row r="11" spans="1:23" ht="15">
      <c r="A11" s="75" t="s">
        <v>11</v>
      </c>
      <c r="B11" s="76">
        <v>42888</v>
      </c>
      <c r="C11" s="77" t="s">
        <v>586</v>
      </c>
      <c r="D11" s="81" t="s">
        <v>611</v>
      </c>
      <c r="E11" s="80" t="s">
        <v>12</v>
      </c>
      <c r="F11" s="82">
        <v>176000</v>
      </c>
      <c r="G11" s="46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</row>
    <row r="12" spans="1:23" ht="15">
      <c r="A12" s="75" t="s">
        <v>13</v>
      </c>
      <c r="B12" s="76">
        <v>42891</v>
      </c>
      <c r="C12" s="77" t="s">
        <v>586</v>
      </c>
      <c r="D12" s="48" t="s">
        <v>592</v>
      </c>
      <c r="E12" s="81" t="s">
        <v>14</v>
      </c>
      <c r="F12" s="82">
        <v>44713</v>
      </c>
      <c r="G12" s="46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</row>
    <row r="13" spans="1:23" ht="15">
      <c r="A13" s="75" t="s">
        <v>15</v>
      </c>
      <c r="B13" s="76">
        <v>42891</v>
      </c>
      <c r="C13" s="77" t="s">
        <v>586</v>
      </c>
      <c r="D13" s="48" t="s">
        <v>602</v>
      </c>
      <c r="E13" s="81" t="s">
        <v>16</v>
      </c>
      <c r="F13" s="82">
        <v>50920</v>
      </c>
      <c r="G13" s="46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ht="15">
      <c r="A14" s="75" t="s">
        <v>17</v>
      </c>
      <c r="B14" s="76">
        <v>42892</v>
      </c>
      <c r="C14" s="77" t="s">
        <v>586</v>
      </c>
      <c r="D14" s="81" t="s">
        <v>612</v>
      </c>
      <c r="E14" s="80" t="s">
        <v>18</v>
      </c>
      <c r="F14" s="82">
        <v>43800</v>
      </c>
      <c r="G14" s="46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</row>
    <row r="15" spans="1:23" ht="15">
      <c r="A15" s="75" t="s">
        <v>19</v>
      </c>
      <c r="B15" s="76">
        <v>42892</v>
      </c>
      <c r="C15" s="77" t="s">
        <v>586</v>
      </c>
      <c r="D15" s="81" t="s">
        <v>589</v>
      </c>
      <c r="E15" s="80" t="s">
        <v>20</v>
      </c>
      <c r="F15" s="82">
        <v>89655</v>
      </c>
      <c r="G15" s="46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</row>
    <row r="16" spans="1:23" ht="15">
      <c r="A16" s="75" t="s">
        <v>21</v>
      </c>
      <c r="B16" s="76">
        <v>42892</v>
      </c>
      <c r="C16" s="77" t="s">
        <v>586</v>
      </c>
      <c r="D16" s="81" t="s">
        <v>22</v>
      </c>
      <c r="E16" s="80" t="s">
        <v>23</v>
      </c>
      <c r="F16" s="82">
        <v>61500</v>
      </c>
      <c r="G16" s="46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</row>
    <row r="17" spans="1:23" ht="15">
      <c r="A17" s="75" t="s">
        <v>24</v>
      </c>
      <c r="B17" s="76">
        <v>42892</v>
      </c>
      <c r="C17" s="77" t="s">
        <v>586</v>
      </c>
      <c r="D17" s="81" t="s">
        <v>613</v>
      </c>
      <c r="E17" s="80" t="s">
        <v>25</v>
      </c>
      <c r="F17" s="82">
        <v>84375</v>
      </c>
      <c r="G17" s="46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</row>
    <row r="18" spans="1:23" ht="15">
      <c r="A18" s="75" t="s">
        <v>26</v>
      </c>
      <c r="B18" s="76">
        <v>42892</v>
      </c>
      <c r="C18" s="77" t="s">
        <v>586</v>
      </c>
      <c r="D18" s="48" t="s">
        <v>619</v>
      </c>
      <c r="E18" s="80" t="s">
        <v>27</v>
      </c>
      <c r="F18" s="82">
        <v>17194.6</v>
      </c>
      <c r="G18" s="46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</row>
    <row r="19" spans="1:23" ht="15">
      <c r="A19" s="75" t="s">
        <v>28</v>
      </c>
      <c r="B19" s="76">
        <v>42894</v>
      </c>
      <c r="C19" s="77" t="s">
        <v>586</v>
      </c>
      <c r="D19" s="81" t="s">
        <v>611</v>
      </c>
      <c r="E19" s="80" t="s">
        <v>29</v>
      </c>
      <c r="F19" s="82">
        <v>178000</v>
      </c>
      <c r="G19" s="46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</row>
    <row r="20" spans="1:23" ht="15">
      <c r="A20" s="75" t="s">
        <v>30</v>
      </c>
      <c r="B20" s="76">
        <v>42894</v>
      </c>
      <c r="C20" s="77" t="s">
        <v>586</v>
      </c>
      <c r="D20" s="81" t="s">
        <v>615</v>
      </c>
      <c r="E20" s="80" t="s">
        <v>31</v>
      </c>
      <c r="F20" s="82">
        <v>35850</v>
      </c>
      <c r="G20" s="4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</row>
    <row r="21" spans="1:23" ht="15">
      <c r="A21" s="75" t="s">
        <v>32</v>
      </c>
      <c r="B21" s="76">
        <v>42895</v>
      </c>
      <c r="C21" s="77" t="s">
        <v>586</v>
      </c>
      <c r="D21" s="81" t="s">
        <v>33</v>
      </c>
      <c r="E21" s="80" t="s">
        <v>34</v>
      </c>
      <c r="F21" s="82">
        <v>99600</v>
      </c>
      <c r="G21" s="46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</row>
    <row r="22" spans="1:23" ht="15">
      <c r="A22" s="75" t="s">
        <v>35</v>
      </c>
      <c r="B22" s="76">
        <v>42895</v>
      </c>
      <c r="C22" s="77" t="s">
        <v>586</v>
      </c>
      <c r="D22" s="81" t="s">
        <v>36</v>
      </c>
      <c r="E22" s="80" t="s">
        <v>34</v>
      </c>
      <c r="F22" s="82">
        <v>99600</v>
      </c>
      <c r="G22" s="46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</row>
    <row r="23" spans="1:23" ht="15">
      <c r="A23" s="75" t="s">
        <v>37</v>
      </c>
      <c r="B23" s="76">
        <v>42895</v>
      </c>
      <c r="C23" s="77" t="s">
        <v>586</v>
      </c>
      <c r="D23" s="81" t="s">
        <v>38</v>
      </c>
      <c r="E23" s="80" t="s">
        <v>34</v>
      </c>
      <c r="F23" s="82">
        <v>99600</v>
      </c>
      <c r="G23" s="46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</row>
    <row r="24" spans="1:23" ht="15">
      <c r="A24" s="75" t="s">
        <v>39</v>
      </c>
      <c r="B24" s="76">
        <v>42898</v>
      </c>
      <c r="C24" s="77" t="s">
        <v>586</v>
      </c>
      <c r="D24" s="81" t="s">
        <v>40</v>
      </c>
      <c r="E24" s="80" t="s">
        <v>41</v>
      </c>
      <c r="F24" s="82">
        <v>99600</v>
      </c>
      <c r="G24" s="4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</row>
    <row r="25" spans="1:23" ht="15">
      <c r="A25" s="75" t="s">
        <v>42</v>
      </c>
      <c r="B25" s="76">
        <v>42898</v>
      </c>
      <c r="C25" s="77" t="s">
        <v>586</v>
      </c>
      <c r="D25" s="81" t="s">
        <v>588</v>
      </c>
      <c r="E25" s="80" t="s">
        <v>43</v>
      </c>
      <c r="F25" s="82">
        <v>112500</v>
      </c>
      <c r="G25" s="46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</row>
    <row r="26" spans="1:23" ht="15">
      <c r="A26" s="75" t="s">
        <v>44</v>
      </c>
      <c r="B26" s="76">
        <v>42898</v>
      </c>
      <c r="C26" s="77" t="s">
        <v>586</v>
      </c>
      <c r="D26" s="81" t="s">
        <v>45</v>
      </c>
      <c r="E26" s="80" t="s">
        <v>46</v>
      </c>
      <c r="F26" s="82">
        <v>112500</v>
      </c>
      <c r="G26" s="46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</row>
    <row r="27" spans="1:23" ht="15">
      <c r="A27" s="75" t="s">
        <v>47</v>
      </c>
      <c r="B27" s="76">
        <v>42898</v>
      </c>
      <c r="C27" s="77" t="s">
        <v>586</v>
      </c>
      <c r="D27" s="81" t="s">
        <v>48</v>
      </c>
      <c r="E27" s="80" t="s">
        <v>46</v>
      </c>
      <c r="F27" s="82">
        <v>112500</v>
      </c>
      <c r="G27" s="46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</row>
    <row r="28" spans="1:23" ht="15">
      <c r="A28" s="75" t="s">
        <v>49</v>
      </c>
      <c r="B28" s="76">
        <v>42898</v>
      </c>
      <c r="C28" s="77" t="s">
        <v>586</v>
      </c>
      <c r="D28" s="81" t="s">
        <v>612</v>
      </c>
      <c r="E28" s="80" t="s">
        <v>46</v>
      </c>
      <c r="F28" s="82">
        <v>112500</v>
      </c>
      <c r="G28" s="46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</row>
    <row r="29" spans="1:23" ht="15">
      <c r="A29" s="75" t="s">
        <v>50</v>
      </c>
      <c r="B29" s="76">
        <v>42898</v>
      </c>
      <c r="C29" s="77" t="s">
        <v>586</v>
      </c>
      <c r="D29" s="81" t="s">
        <v>51</v>
      </c>
      <c r="E29" s="80" t="s">
        <v>46</v>
      </c>
      <c r="F29" s="82">
        <v>112500</v>
      </c>
      <c r="G29" s="46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</row>
    <row r="30" spans="1:23" ht="15">
      <c r="A30" s="75" t="s">
        <v>52</v>
      </c>
      <c r="B30" s="76">
        <v>42898</v>
      </c>
      <c r="C30" s="77" t="s">
        <v>586</v>
      </c>
      <c r="D30" s="48" t="s">
        <v>591</v>
      </c>
      <c r="E30" s="81" t="s">
        <v>53</v>
      </c>
      <c r="F30" s="82">
        <v>37335</v>
      </c>
      <c r="G30" s="46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</row>
    <row r="31" spans="1:23" ht="15">
      <c r="A31" s="75" t="s">
        <v>54</v>
      </c>
      <c r="B31" s="76">
        <v>42899</v>
      </c>
      <c r="C31" s="77" t="s">
        <v>586</v>
      </c>
      <c r="D31" s="81" t="s">
        <v>55</v>
      </c>
      <c r="E31" s="80" t="s">
        <v>56</v>
      </c>
      <c r="F31" s="82">
        <v>94850</v>
      </c>
      <c r="G31" s="46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</row>
    <row r="32" spans="1:23" ht="15">
      <c r="A32" s="75" t="s">
        <v>57</v>
      </c>
      <c r="B32" s="76">
        <v>42900</v>
      </c>
      <c r="C32" s="77" t="s">
        <v>586</v>
      </c>
      <c r="D32" s="81" t="s">
        <v>58</v>
      </c>
      <c r="E32" s="80" t="s">
        <v>20</v>
      </c>
      <c r="F32" s="82">
        <v>59075</v>
      </c>
      <c r="G32" s="46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</row>
    <row r="33" spans="1:23" ht="15">
      <c r="A33" s="75" t="s">
        <v>59</v>
      </c>
      <c r="B33" s="76">
        <v>42900</v>
      </c>
      <c r="C33" s="77" t="s">
        <v>586</v>
      </c>
      <c r="D33" s="81" t="s">
        <v>587</v>
      </c>
      <c r="E33" s="80" t="s">
        <v>60</v>
      </c>
      <c r="F33" s="82">
        <v>112700</v>
      </c>
      <c r="G33" s="46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</row>
    <row r="34" spans="1:23" ht="15">
      <c r="A34" s="75" t="s">
        <v>61</v>
      </c>
      <c r="B34" s="76">
        <v>42900</v>
      </c>
      <c r="C34" s="77" t="s">
        <v>586</v>
      </c>
      <c r="D34" s="81" t="s">
        <v>62</v>
      </c>
      <c r="E34" s="80" t="s">
        <v>63</v>
      </c>
      <c r="F34" s="82">
        <v>71550</v>
      </c>
      <c r="G34" s="46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</row>
    <row r="35" spans="1:23" ht="15">
      <c r="A35" s="75" t="s">
        <v>64</v>
      </c>
      <c r="B35" s="76">
        <v>42900</v>
      </c>
      <c r="C35" s="77" t="s">
        <v>586</v>
      </c>
      <c r="D35" s="81" t="s">
        <v>65</v>
      </c>
      <c r="E35" s="80" t="s">
        <v>66</v>
      </c>
      <c r="F35" s="82">
        <v>71550</v>
      </c>
      <c r="G35" s="46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1:23" ht="15">
      <c r="A36" s="75" t="s">
        <v>67</v>
      </c>
      <c r="B36" s="76">
        <v>42901</v>
      </c>
      <c r="C36" s="77" t="s">
        <v>586</v>
      </c>
      <c r="D36" s="48" t="s">
        <v>614</v>
      </c>
      <c r="E36" s="81" t="s">
        <v>68</v>
      </c>
      <c r="F36" s="82">
        <v>31374</v>
      </c>
      <c r="G36" s="46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</row>
    <row r="37" spans="1:23" ht="15">
      <c r="A37" s="75" t="s">
        <v>69</v>
      </c>
      <c r="B37" s="76">
        <v>42902</v>
      </c>
      <c r="C37" s="77" t="s">
        <v>586</v>
      </c>
      <c r="D37" s="81" t="s">
        <v>611</v>
      </c>
      <c r="E37" s="80" t="s">
        <v>70</v>
      </c>
      <c r="F37" s="82">
        <v>172000</v>
      </c>
      <c r="G37" s="46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</row>
    <row r="38" spans="1:23" ht="15">
      <c r="A38" s="75" t="s">
        <v>71</v>
      </c>
      <c r="B38" s="76">
        <v>42905</v>
      </c>
      <c r="C38" s="77" t="s">
        <v>586</v>
      </c>
      <c r="D38" s="81" t="s">
        <v>72</v>
      </c>
      <c r="E38" s="80" t="s">
        <v>73</v>
      </c>
      <c r="F38" s="82">
        <v>74750</v>
      </c>
      <c r="G38" s="46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</row>
    <row r="39" spans="1:23" ht="15">
      <c r="A39" s="75" t="s">
        <v>74</v>
      </c>
      <c r="B39" s="76">
        <v>42905</v>
      </c>
      <c r="C39" s="77" t="s">
        <v>586</v>
      </c>
      <c r="D39" s="81" t="s">
        <v>75</v>
      </c>
      <c r="E39" s="80" t="s">
        <v>73</v>
      </c>
      <c r="F39" s="82">
        <v>74750</v>
      </c>
      <c r="G39" s="46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</row>
    <row r="40" spans="1:23" ht="15">
      <c r="A40" s="75" t="s">
        <v>76</v>
      </c>
      <c r="B40" s="76">
        <v>42906</v>
      </c>
      <c r="C40" s="77" t="s">
        <v>586</v>
      </c>
      <c r="D40" s="81" t="s">
        <v>65</v>
      </c>
      <c r="E40" s="80" t="s">
        <v>77</v>
      </c>
      <c r="F40" s="82">
        <v>74750</v>
      </c>
      <c r="G40" s="46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</row>
    <row r="41" spans="1:23" ht="15">
      <c r="A41" s="75" t="s">
        <v>78</v>
      </c>
      <c r="B41" s="76">
        <v>42907</v>
      </c>
      <c r="C41" s="77" t="s">
        <v>586</v>
      </c>
      <c r="D41" s="81" t="s">
        <v>587</v>
      </c>
      <c r="E41" s="80" t="s">
        <v>79</v>
      </c>
      <c r="F41" s="82">
        <v>130865</v>
      </c>
      <c r="G41" s="46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</row>
    <row r="42" spans="1:23" ht="15">
      <c r="A42" s="75" t="s">
        <v>80</v>
      </c>
      <c r="B42" s="76">
        <v>42907</v>
      </c>
      <c r="C42" s="77" t="s">
        <v>586</v>
      </c>
      <c r="D42" s="48" t="s">
        <v>81</v>
      </c>
      <c r="E42" s="81" t="s">
        <v>82</v>
      </c>
      <c r="F42" s="82">
        <v>9000</v>
      </c>
      <c r="G42" s="46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</row>
    <row r="43" spans="1:23" ht="15">
      <c r="A43" s="75" t="s">
        <v>83</v>
      </c>
      <c r="B43" s="76">
        <v>42907</v>
      </c>
      <c r="C43" s="77" t="s">
        <v>586</v>
      </c>
      <c r="D43" s="48" t="s">
        <v>619</v>
      </c>
      <c r="E43" s="81" t="s">
        <v>84</v>
      </c>
      <c r="F43" s="82">
        <v>34800</v>
      </c>
      <c r="G43" s="46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</row>
    <row r="44" spans="1:23" ht="15">
      <c r="A44" s="75" t="s">
        <v>85</v>
      </c>
      <c r="B44" s="76">
        <v>42912</v>
      </c>
      <c r="C44" s="77" t="s">
        <v>586</v>
      </c>
      <c r="D44" s="81" t="s">
        <v>611</v>
      </c>
      <c r="E44" s="80" t="s">
        <v>86</v>
      </c>
      <c r="F44" s="82">
        <v>76963</v>
      </c>
      <c r="G44" s="46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</row>
    <row r="45" spans="1:23" ht="15">
      <c r="A45" s="75" t="s">
        <v>87</v>
      </c>
      <c r="B45" s="76">
        <v>42912</v>
      </c>
      <c r="C45" s="77" t="s">
        <v>586</v>
      </c>
      <c r="D45" s="81" t="s">
        <v>611</v>
      </c>
      <c r="E45" s="80" t="s">
        <v>88</v>
      </c>
      <c r="F45" s="82">
        <v>252000</v>
      </c>
      <c r="G45" s="46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</row>
    <row r="46" spans="1:23" ht="15">
      <c r="A46" s="75" t="s">
        <v>89</v>
      </c>
      <c r="B46" s="76">
        <v>42912</v>
      </c>
      <c r="C46" s="77" t="s">
        <v>586</v>
      </c>
      <c r="D46" s="81" t="s">
        <v>90</v>
      </c>
      <c r="E46" s="80" t="s">
        <v>91</v>
      </c>
      <c r="F46" s="82">
        <v>110650</v>
      </c>
      <c r="G46" s="46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</row>
    <row r="47" spans="1:23" ht="15">
      <c r="A47" s="75" t="s">
        <v>92</v>
      </c>
      <c r="B47" s="76">
        <v>42912</v>
      </c>
      <c r="C47" s="77" t="s">
        <v>586</v>
      </c>
      <c r="D47" s="81" t="s">
        <v>590</v>
      </c>
      <c r="E47" s="80" t="s">
        <v>93</v>
      </c>
      <c r="F47" s="82">
        <v>110650</v>
      </c>
      <c r="G47" s="46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</row>
    <row r="48" spans="1:23" ht="15">
      <c r="A48" s="75" t="s">
        <v>94</v>
      </c>
      <c r="B48" s="76">
        <v>42912</v>
      </c>
      <c r="C48" s="77" t="s">
        <v>586</v>
      </c>
      <c r="D48" s="81" t="s">
        <v>95</v>
      </c>
      <c r="E48" s="80" t="s">
        <v>96</v>
      </c>
      <c r="F48" s="82">
        <v>63950</v>
      </c>
      <c r="G48" s="46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</row>
    <row r="49" spans="1:23" ht="15">
      <c r="A49" s="75" t="s">
        <v>97</v>
      </c>
      <c r="B49" s="76">
        <v>42913</v>
      </c>
      <c r="C49" s="77" t="s">
        <v>586</v>
      </c>
      <c r="D49" s="81" t="s">
        <v>587</v>
      </c>
      <c r="E49" s="80" t="s">
        <v>98</v>
      </c>
      <c r="F49" s="82">
        <v>107700</v>
      </c>
      <c r="G49" s="46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</row>
    <row r="50" spans="1:23" ht="15">
      <c r="A50" s="75" t="s">
        <v>99</v>
      </c>
      <c r="B50" s="76">
        <v>42913</v>
      </c>
      <c r="C50" s="77" t="s">
        <v>586</v>
      </c>
      <c r="D50" s="81" t="s">
        <v>588</v>
      </c>
      <c r="E50" s="80" t="s">
        <v>100</v>
      </c>
      <c r="F50" s="82">
        <v>58800</v>
      </c>
      <c r="G50" s="46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</row>
    <row r="51" spans="1:23" ht="15">
      <c r="A51" s="75" t="s">
        <v>101</v>
      </c>
      <c r="B51" s="76">
        <v>42891</v>
      </c>
      <c r="C51" s="77" t="s">
        <v>586</v>
      </c>
      <c r="D51" s="48" t="s">
        <v>595</v>
      </c>
      <c r="E51" s="80" t="s">
        <v>102</v>
      </c>
      <c r="F51" s="82">
        <v>23500</v>
      </c>
      <c r="G51" s="46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</row>
    <row r="52" spans="1:23" ht="15">
      <c r="A52" s="75" t="s">
        <v>101</v>
      </c>
      <c r="B52" s="76">
        <v>42891</v>
      </c>
      <c r="C52" s="77" t="s">
        <v>586</v>
      </c>
      <c r="D52" s="48" t="s">
        <v>595</v>
      </c>
      <c r="E52" s="80" t="s">
        <v>103</v>
      </c>
      <c r="F52" s="82">
        <v>57370</v>
      </c>
      <c r="G52" s="46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</row>
    <row r="53" spans="1:23" ht="15">
      <c r="A53" s="75" t="s">
        <v>101</v>
      </c>
      <c r="B53" s="76">
        <v>42891</v>
      </c>
      <c r="C53" s="77" t="s">
        <v>586</v>
      </c>
      <c r="D53" s="48" t="s">
        <v>595</v>
      </c>
      <c r="E53" s="80" t="s">
        <v>104</v>
      </c>
      <c r="F53" s="82">
        <v>57370</v>
      </c>
      <c r="G53" s="46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</row>
    <row r="54" spans="1:23" ht="15">
      <c r="A54" s="75" t="s">
        <v>101</v>
      </c>
      <c r="B54" s="76">
        <v>42891</v>
      </c>
      <c r="C54" s="77" t="s">
        <v>586</v>
      </c>
      <c r="D54" s="48" t="s">
        <v>596</v>
      </c>
      <c r="E54" s="80" t="s">
        <v>105</v>
      </c>
      <c r="F54" s="82">
        <v>25000</v>
      </c>
      <c r="G54" s="46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</row>
    <row r="55" spans="1:23" ht="15">
      <c r="A55" s="75" t="s">
        <v>101</v>
      </c>
      <c r="B55" s="76">
        <v>42891</v>
      </c>
      <c r="C55" s="77" t="s">
        <v>586</v>
      </c>
      <c r="D55" s="48" t="s">
        <v>596</v>
      </c>
      <c r="E55" s="80" t="s">
        <v>106</v>
      </c>
      <c r="F55" s="82">
        <v>25000</v>
      </c>
      <c r="G55" s="46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</row>
    <row r="56" spans="1:23" ht="15">
      <c r="A56" s="75" t="s">
        <v>101</v>
      </c>
      <c r="B56" s="76">
        <v>42891</v>
      </c>
      <c r="C56" s="77" t="s">
        <v>586</v>
      </c>
      <c r="D56" s="48" t="s">
        <v>596</v>
      </c>
      <c r="E56" s="80" t="s">
        <v>107</v>
      </c>
      <c r="F56" s="82">
        <v>25000</v>
      </c>
      <c r="G56" s="46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</row>
    <row r="57" spans="1:23" ht="15">
      <c r="A57" s="75" t="s">
        <v>101</v>
      </c>
      <c r="B57" s="76">
        <v>42891</v>
      </c>
      <c r="C57" s="77" t="s">
        <v>586</v>
      </c>
      <c r="D57" s="48" t="s">
        <v>596</v>
      </c>
      <c r="E57" s="80" t="s">
        <v>108</v>
      </c>
      <c r="F57" s="82">
        <v>25000</v>
      </c>
      <c r="G57" s="46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</row>
    <row r="58" spans="1:23" ht="15">
      <c r="A58" s="75" t="s">
        <v>101</v>
      </c>
      <c r="B58" s="76">
        <v>42891</v>
      </c>
      <c r="C58" s="77" t="s">
        <v>586</v>
      </c>
      <c r="D58" s="48" t="s">
        <v>109</v>
      </c>
      <c r="E58" s="80" t="s">
        <v>110</v>
      </c>
      <c r="F58" s="82">
        <v>22500</v>
      </c>
      <c r="G58" s="46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</row>
    <row r="59" spans="1:23" ht="15">
      <c r="A59" s="75" t="s">
        <v>101</v>
      </c>
      <c r="B59" s="76">
        <v>42891</v>
      </c>
      <c r="C59" s="77" t="s">
        <v>586</v>
      </c>
      <c r="D59" s="48" t="s">
        <v>111</v>
      </c>
      <c r="E59" s="80" t="s">
        <v>112</v>
      </c>
      <c r="F59" s="82">
        <v>337995.58</v>
      </c>
      <c r="G59" s="46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</row>
    <row r="60" spans="1:23" ht="15">
      <c r="A60" s="75" t="s">
        <v>101</v>
      </c>
      <c r="B60" s="76">
        <v>42891</v>
      </c>
      <c r="C60" s="77" t="s">
        <v>586</v>
      </c>
      <c r="D60" s="48" t="s">
        <v>621</v>
      </c>
      <c r="E60" s="80" t="s">
        <v>113</v>
      </c>
      <c r="F60" s="82">
        <v>65463.75</v>
      </c>
      <c r="G60" s="46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</row>
    <row r="61" spans="1:23" ht="15">
      <c r="A61" s="75" t="s">
        <v>101</v>
      </c>
      <c r="B61" s="76">
        <v>42891</v>
      </c>
      <c r="C61" s="77" t="s">
        <v>586</v>
      </c>
      <c r="D61" s="48" t="s">
        <v>290</v>
      </c>
      <c r="E61" s="80" t="s">
        <v>114</v>
      </c>
      <c r="F61" s="82">
        <v>20000</v>
      </c>
      <c r="G61" s="46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</row>
    <row r="62" spans="1:23" ht="15">
      <c r="A62" s="75" t="s">
        <v>101</v>
      </c>
      <c r="B62" s="76">
        <v>42891</v>
      </c>
      <c r="C62" s="77" t="s">
        <v>586</v>
      </c>
      <c r="D62" s="48" t="s">
        <v>0</v>
      </c>
      <c r="E62" s="80" t="s">
        <v>115</v>
      </c>
      <c r="F62" s="82">
        <v>396193.4</v>
      </c>
      <c r="G62" s="46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</row>
    <row r="63" spans="1:23" ht="15">
      <c r="A63" s="75" t="s">
        <v>101</v>
      </c>
      <c r="B63" s="76">
        <v>42891</v>
      </c>
      <c r="C63" s="77" t="s">
        <v>586</v>
      </c>
      <c r="D63" s="48" t="s">
        <v>622</v>
      </c>
      <c r="E63" s="80" t="s">
        <v>116</v>
      </c>
      <c r="F63" s="82">
        <v>620475.25</v>
      </c>
      <c r="G63" s="46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</row>
    <row r="64" spans="1:23" ht="15">
      <c r="A64" s="75" t="s">
        <v>101</v>
      </c>
      <c r="B64" s="76">
        <v>42891</v>
      </c>
      <c r="C64" s="77" t="s">
        <v>586</v>
      </c>
      <c r="D64" s="48" t="s">
        <v>607</v>
      </c>
      <c r="E64" s="80" t="s">
        <v>117</v>
      </c>
      <c r="F64" s="82">
        <v>88065</v>
      </c>
      <c r="G64" s="46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</row>
    <row r="65" spans="1:23" ht="15">
      <c r="A65" s="75" t="s">
        <v>101</v>
      </c>
      <c r="B65" s="76">
        <v>42891</v>
      </c>
      <c r="C65" s="77" t="s">
        <v>586</v>
      </c>
      <c r="D65" s="48" t="s">
        <v>118</v>
      </c>
      <c r="E65" s="80" t="s">
        <v>119</v>
      </c>
      <c r="F65" s="82">
        <v>1022875</v>
      </c>
      <c r="G65" s="46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</row>
    <row r="66" spans="1:23" ht="15">
      <c r="A66" s="75" t="s">
        <v>101</v>
      </c>
      <c r="B66" s="76">
        <v>42891</v>
      </c>
      <c r="C66" s="77" t="s">
        <v>586</v>
      </c>
      <c r="D66" s="48" t="s">
        <v>120</v>
      </c>
      <c r="E66" s="80" t="s">
        <v>121</v>
      </c>
      <c r="F66" s="82">
        <v>30000</v>
      </c>
      <c r="G66" s="46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</row>
    <row r="67" spans="1:23" ht="15">
      <c r="A67" s="75" t="s">
        <v>101</v>
      </c>
      <c r="B67" s="76">
        <v>42891</v>
      </c>
      <c r="C67" s="77" t="s">
        <v>586</v>
      </c>
      <c r="D67" s="48" t="s">
        <v>120</v>
      </c>
      <c r="E67" s="80" t="s">
        <v>122</v>
      </c>
      <c r="F67" s="82">
        <v>60000</v>
      </c>
      <c r="G67" s="46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</row>
    <row r="68" spans="1:23" ht="15">
      <c r="A68" s="75" t="s">
        <v>101</v>
      </c>
      <c r="B68" s="76">
        <v>42891</v>
      </c>
      <c r="C68" s="77" t="s">
        <v>586</v>
      </c>
      <c r="D68" s="48" t="s">
        <v>618</v>
      </c>
      <c r="E68" s="80" t="s">
        <v>123</v>
      </c>
      <c r="F68" s="82">
        <v>79474.45</v>
      </c>
      <c r="G68" s="46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</row>
    <row r="69" spans="1:23" ht="15">
      <c r="A69" s="75" t="s">
        <v>101</v>
      </c>
      <c r="B69" s="76">
        <v>42891</v>
      </c>
      <c r="C69" s="77" t="s">
        <v>586</v>
      </c>
      <c r="D69" s="48" t="s">
        <v>610</v>
      </c>
      <c r="E69" s="80" t="s">
        <v>124</v>
      </c>
      <c r="F69" s="82">
        <v>107500</v>
      </c>
      <c r="G69" s="46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</row>
    <row r="70" spans="1:23" ht="15">
      <c r="A70" s="75" t="s">
        <v>101</v>
      </c>
      <c r="B70" s="76">
        <v>42891</v>
      </c>
      <c r="C70" s="77" t="s">
        <v>586</v>
      </c>
      <c r="D70" s="48" t="s">
        <v>608</v>
      </c>
      <c r="E70" s="80" t="s">
        <v>125</v>
      </c>
      <c r="F70" s="82">
        <v>8350</v>
      </c>
      <c r="G70" s="46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</row>
    <row r="71" spans="1:23" ht="15">
      <c r="A71" s="75" t="s">
        <v>101</v>
      </c>
      <c r="B71" s="76">
        <v>42891</v>
      </c>
      <c r="C71" s="77" t="s">
        <v>586</v>
      </c>
      <c r="D71" s="48" t="s">
        <v>288</v>
      </c>
      <c r="E71" s="80" t="s">
        <v>126</v>
      </c>
      <c r="F71" s="82">
        <v>36150</v>
      </c>
      <c r="G71" s="46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</row>
    <row r="72" spans="1:23" ht="15">
      <c r="A72" s="75" t="s">
        <v>101</v>
      </c>
      <c r="B72" s="76">
        <v>42891</v>
      </c>
      <c r="C72" s="77" t="s">
        <v>586</v>
      </c>
      <c r="D72" s="48" t="s">
        <v>287</v>
      </c>
      <c r="E72" s="80" t="s">
        <v>127</v>
      </c>
      <c r="F72" s="82">
        <v>39650</v>
      </c>
      <c r="G72" s="46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</row>
    <row r="73" spans="1:23" ht="15">
      <c r="A73" s="75" t="s">
        <v>101</v>
      </c>
      <c r="B73" s="76">
        <v>42891</v>
      </c>
      <c r="C73" s="77" t="s">
        <v>586</v>
      </c>
      <c r="D73" s="48" t="s">
        <v>592</v>
      </c>
      <c r="E73" s="80" t="s">
        <v>128</v>
      </c>
      <c r="F73" s="82">
        <v>54550</v>
      </c>
      <c r="G73" s="46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</row>
    <row r="74" spans="1:23" ht="15">
      <c r="A74" s="75" t="s">
        <v>129</v>
      </c>
      <c r="B74" s="76">
        <v>42892</v>
      </c>
      <c r="C74" s="77" t="s">
        <v>586</v>
      </c>
      <c r="D74" s="48" t="s">
        <v>130</v>
      </c>
      <c r="E74" s="80" t="s">
        <v>131</v>
      </c>
      <c r="F74" s="82">
        <v>761466</v>
      </c>
      <c r="G74" s="46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</row>
    <row r="75" spans="1:23" ht="15">
      <c r="A75" s="75" t="s">
        <v>132</v>
      </c>
      <c r="B75" s="76">
        <v>42894</v>
      </c>
      <c r="C75" s="77" t="s">
        <v>586</v>
      </c>
      <c r="D75" s="48" t="s">
        <v>599</v>
      </c>
      <c r="E75" s="80" t="s">
        <v>133</v>
      </c>
      <c r="F75" s="82">
        <v>490000</v>
      </c>
      <c r="G75" s="46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</row>
    <row r="76" spans="1:23" ht="15">
      <c r="A76" s="75" t="s">
        <v>132</v>
      </c>
      <c r="B76" s="76">
        <v>42894</v>
      </c>
      <c r="C76" s="77" t="s">
        <v>586</v>
      </c>
      <c r="D76" s="48" t="s">
        <v>599</v>
      </c>
      <c r="E76" s="80" t="s">
        <v>134</v>
      </c>
      <c r="F76" s="82">
        <v>199820.21</v>
      </c>
      <c r="G76" s="46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</row>
    <row r="77" spans="1:23" ht="15">
      <c r="A77" s="75" t="s">
        <v>132</v>
      </c>
      <c r="B77" s="76">
        <v>42894</v>
      </c>
      <c r="C77" s="77" t="s">
        <v>586</v>
      </c>
      <c r="D77" s="48" t="s">
        <v>135</v>
      </c>
      <c r="E77" s="80" t="s">
        <v>136</v>
      </c>
      <c r="F77" s="82">
        <v>150000</v>
      </c>
      <c r="G77" s="46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</row>
    <row r="78" spans="1:23" ht="15">
      <c r="A78" s="75" t="s">
        <v>132</v>
      </c>
      <c r="B78" s="76">
        <v>42894</v>
      </c>
      <c r="C78" s="77" t="s">
        <v>586</v>
      </c>
      <c r="D78" s="48" t="s">
        <v>603</v>
      </c>
      <c r="E78" s="80" t="s">
        <v>137</v>
      </c>
      <c r="F78" s="82">
        <v>50000</v>
      </c>
      <c r="G78" s="46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</row>
    <row r="79" spans="1:23" ht="15">
      <c r="A79" s="75" t="s">
        <v>132</v>
      </c>
      <c r="B79" s="76">
        <v>42894</v>
      </c>
      <c r="C79" s="77" t="s">
        <v>586</v>
      </c>
      <c r="D79" s="48" t="s">
        <v>617</v>
      </c>
      <c r="E79" s="80" t="s">
        <v>138</v>
      </c>
      <c r="F79" s="82">
        <v>168179.75</v>
      </c>
      <c r="G79" s="46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</row>
    <row r="80" spans="1:23" ht="15">
      <c r="A80" s="75" t="s">
        <v>132</v>
      </c>
      <c r="B80" s="76">
        <v>42894</v>
      </c>
      <c r="C80" s="77" t="s">
        <v>586</v>
      </c>
      <c r="D80" s="48" t="s">
        <v>619</v>
      </c>
      <c r="E80" s="80" t="s">
        <v>139</v>
      </c>
      <c r="F80" s="82">
        <v>11550</v>
      </c>
      <c r="G80" s="46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</row>
    <row r="81" spans="1:23" ht="15">
      <c r="A81" s="75" t="s">
        <v>132</v>
      </c>
      <c r="B81" s="76">
        <v>42894</v>
      </c>
      <c r="C81" s="77" t="s">
        <v>586</v>
      </c>
      <c r="D81" s="48" t="s">
        <v>140</v>
      </c>
      <c r="E81" s="80" t="s">
        <v>141</v>
      </c>
      <c r="F81" s="82">
        <v>8350</v>
      </c>
      <c r="G81" s="46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</row>
    <row r="82" spans="1:23" ht="15">
      <c r="A82" s="75" t="s">
        <v>132</v>
      </c>
      <c r="B82" s="76">
        <v>42894</v>
      </c>
      <c r="C82" s="77" t="s">
        <v>586</v>
      </c>
      <c r="D82" s="48" t="s">
        <v>609</v>
      </c>
      <c r="E82" s="80" t="s">
        <v>142</v>
      </c>
      <c r="F82" s="82">
        <v>75699.6</v>
      </c>
      <c r="G82" s="46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</row>
    <row r="83" spans="1:23" ht="15">
      <c r="A83" s="75" t="s">
        <v>132</v>
      </c>
      <c r="B83" s="76">
        <v>42894</v>
      </c>
      <c r="C83" s="77" t="s">
        <v>586</v>
      </c>
      <c r="D83" s="48" t="s">
        <v>286</v>
      </c>
      <c r="E83" s="80" t="s">
        <v>143</v>
      </c>
      <c r="F83" s="82">
        <v>689895.5</v>
      </c>
      <c r="G83" s="46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</row>
    <row r="84" spans="1:23" ht="15">
      <c r="A84" s="75" t="s">
        <v>144</v>
      </c>
      <c r="B84" s="76">
        <v>42895</v>
      </c>
      <c r="C84" s="77" t="s">
        <v>586</v>
      </c>
      <c r="D84" s="48" t="s">
        <v>294</v>
      </c>
      <c r="E84" s="80" t="s">
        <v>145</v>
      </c>
      <c r="F84" s="82">
        <v>24600</v>
      </c>
      <c r="G84" s="46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</row>
    <row r="85" spans="1:23" ht="15">
      <c r="A85" s="75" t="s">
        <v>144</v>
      </c>
      <c r="B85" s="76">
        <v>42895</v>
      </c>
      <c r="C85" s="77" t="s">
        <v>586</v>
      </c>
      <c r="D85" s="48" t="s">
        <v>294</v>
      </c>
      <c r="E85" s="80" t="s">
        <v>146</v>
      </c>
      <c r="F85" s="82">
        <v>21050</v>
      </c>
      <c r="G85" s="46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</row>
    <row r="86" spans="1:23" ht="15">
      <c r="A86" s="75" t="s">
        <v>144</v>
      </c>
      <c r="B86" s="76">
        <v>42895</v>
      </c>
      <c r="C86" s="77" t="s">
        <v>586</v>
      </c>
      <c r="D86" s="48" t="s">
        <v>294</v>
      </c>
      <c r="E86" s="80" t="s">
        <v>147</v>
      </c>
      <c r="F86" s="82">
        <v>112300</v>
      </c>
      <c r="G86" s="46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</row>
    <row r="87" spans="1:23" ht="15">
      <c r="A87" s="75" t="s">
        <v>144</v>
      </c>
      <c r="B87" s="76">
        <v>42895</v>
      </c>
      <c r="C87" s="77" t="s">
        <v>586</v>
      </c>
      <c r="D87" s="48" t="s">
        <v>294</v>
      </c>
      <c r="E87" s="80" t="s">
        <v>148</v>
      </c>
      <c r="F87" s="82">
        <v>727450</v>
      </c>
      <c r="G87" s="46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</row>
    <row r="88" spans="1:23" ht="15">
      <c r="A88" s="75" t="s">
        <v>144</v>
      </c>
      <c r="B88" s="76">
        <v>42895</v>
      </c>
      <c r="C88" s="77" t="s">
        <v>586</v>
      </c>
      <c r="D88" s="48" t="s">
        <v>294</v>
      </c>
      <c r="E88" s="80" t="s">
        <v>149</v>
      </c>
      <c r="F88" s="82">
        <v>133830</v>
      </c>
      <c r="G88" s="46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</row>
    <row r="89" spans="1:23" ht="15">
      <c r="A89" s="75" t="s">
        <v>144</v>
      </c>
      <c r="B89" s="76">
        <v>42895</v>
      </c>
      <c r="C89" s="77" t="s">
        <v>586</v>
      </c>
      <c r="D89" s="48" t="s">
        <v>294</v>
      </c>
      <c r="E89" s="80" t="s">
        <v>150</v>
      </c>
      <c r="F89" s="82">
        <v>552713</v>
      </c>
      <c r="G89" s="46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</row>
    <row r="90" spans="1:23" ht="15">
      <c r="A90" s="75" t="s">
        <v>144</v>
      </c>
      <c r="B90" s="76">
        <v>42895</v>
      </c>
      <c r="C90" s="77" t="s">
        <v>586</v>
      </c>
      <c r="D90" s="48" t="s">
        <v>294</v>
      </c>
      <c r="E90" s="80" t="s">
        <v>151</v>
      </c>
      <c r="F90" s="82">
        <v>32900</v>
      </c>
      <c r="G90" s="46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</row>
    <row r="91" spans="1:23" ht="15">
      <c r="A91" s="75" t="s">
        <v>152</v>
      </c>
      <c r="B91" s="76">
        <v>42898</v>
      </c>
      <c r="C91" s="77" t="s">
        <v>586</v>
      </c>
      <c r="D91" s="48" t="s">
        <v>595</v>
      </c>
      <c r="E91" s="80" t="s">
        <v>153</v>
      </c>
      <c r="F91" s="82">
        <v>29120</v>
      </c>
      <c r="G91" s="46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</row>
    <row r="92" spans="1:23" ht="15">
      <c r="A92" s="75" t="s">
        <v>152</v>
      </c>
      <c r="B92" s="76">
        <v>42898</v>
      </c>
      <c r="C92" s="77" t="s">
        <v>586</v>
      </c>
      <c r="D92" s="48" t="s">
        <v>595</v>
      </c>
      <c r="E92" s="80" t="s">
        <v>153</v>
      </c>
      <c r="F92" s="82">
        <v>33783</v>
      </c>
      <c r="G92" s="46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</row>
    <row r="93" spans="1:23" ht="15">
      <c r="A93" s="75" t="s">
        <v>152</v>
      </c>
      <c r="B93" s="76">
        <v>42898</v>
      </c>
      <c r="C93" s="77" t="s">
        <v>586</v>
      </c>
      <c r="D93" s="48" t="s">
        <v>595</v>
      </c>
      <c r="E93" s="80" t="s">
        <v>153</v>
      </c>
      <c r="F93" s="82">
        <v>23380</v>
      </c>
      <c r="G93" s="46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</row>
    <row r="94" spans="1:23" ht="15">
      <c r="A94" s="75" t="s">
        <v>152</v>
      </c>
      <c r="B94" s="76">
        <v>42898</v>
      </c>
      <c r="C94" s="77" t="s">
        <v>586</v>
      </c>
      <c r="D94" s="48" t="s">
        <v>620</v>
      </c>
      <c r="E94" s="80" t="s">
        <v>154</v>
      </c>
      <c r="F94" s="82">
        <v>545370</v>
      </c>
      <c r="G94" s="46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</row>
    <row r="95" spans="1:23" ht="15">
      <c r="A95" s="75" t="s">
        <v>152</v>
      </c>
      <c r="B95" s="76">
        <v>42898</v>
      </c>
      <c r="C95" s="77" t="s">
        <v>586</v>
      </c>
      <c r="D95" s="48" t="s">
        <v>600</v>
      </c>
      <c r="E95" s="80" t="s">
        <v>155</v>
      </c>
      <c r="F95" s="82">
        <v>200000</v>
      </c>
      <c r="G95" s="46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</row>
    <row r="96" spans="1:23" ht="15">
      <c r="A96" s="75" t="s">
        <v>152</v>
      </c>
      <c r="B96" s="76">
        <v>42898</v>
      </c>
      <c r="C96" s="77" t="s">
        <v>586</v>
      </c>
      <c r="D96" s="48" t="s">
        <v>156</v>
      </c>
      <c r="E96" s="80" t="s">
        <v>157</v>
      </c>
      <c r="F96" s="82">
        <v>168831.39</v>
      </c>
      <c r="G96" s="46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</row>
    <row r="97" spans="1:23" ht="15">
      <c r="A97" s="75" t="s">
        <v>152</v>
      </c>
      <c r="B97" s="76">
        <v>42898</v>
      </c>
      <c r="C97" s="77" t="s">
        <v>586</v>
      </c>
      <c r="D97" s="48" t="s">
        <v>602</v>
      </c>
      <c r="E97" s="80" t="s">
        <v>158</v>
      </c>
      <c r="F97" s="82">
        <v>30825</v>
      </c>
      <c r="G97" s="46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</row>
    <row r="98" spans="1:23" ht="15">
      <c r="A98" s="75" t="s">
        <v>152</v>
      </c>
      <c r="B98" s="76">
        <v>42898</v>
      </c>
      <c r="C98" s="77" t="s">
        <v>586</v>
      </c>
      <c r="D98" s="48" t="s">
        <v>159</v>
      </c>
      <c r="E98" s="80" t="s">
        <v>160</v>
      </c>
      <c r="F98" s="82">
        <v>100500</v>
      </c>
      <c r="G98" s="46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</row>
    <row r="99" spans="1:23" ht="15">
      <c r="A99" s="75" t="s">
        <v>152</v>
      </c>
      <c r="B99" s="76">
        <v>42898</v>
      </c>
      <c r="C99" s="77" t="s">
        <v>586</v>
      </c>
      <c r="D99" s="48" t="s">
        <v>591</v>
      </c>
      <c r="E99" s="80" t="s">
        <v>161</v>
      </c>
      <c r="F99" s="82">
        <v>8350</v>
      </c>
      <c r="G99" s="46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</row>
    <row r="100" spans="1:23" ht="15">
      <c r="A100" s="75" t="s">
        <v>152</v>
      </c>
      <c r="B100" s="76">
        <v>42898</v>
      </c>
      <c r="C100" s="77" t="s">
        <v>586</v>
      </c>
      <c r="D100" s="48" t="s">
        <v>162</v>
      </c>
      <c r="E100" s="80" t="s">
        <v>163</v>
      </c>
      <c r="F100" s="82">
        <v>60550</v>
      </c>
      <c r="G100" s="46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</row>
    <row r="101" spans="1:23" ht="15">
      <c r="A101" s="75" t="s">
        <v>152</v>
      </c>
      <c r="B101" s="76">
        <v>42898</v>
      </c>
      <c r="C101" s="77" t="s">
        <v>586</v>
      </c>
      <c r="D101" s="48" t="s">
        <v>162</v>
      </c>
      <c r="E101" s="80" t="s">
        <v>164</v>
      </c>
      <c r="F101" s="82">
        <v>3800</v>
      </c>
      <c r="G101" s="46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</row>
    <row r="102" spans="1:23" ht="15">
      <c r="A102" s="75" t="s">
        <v>165</v>
      </c>
      <c r="B102" s="76">
        <v>42899</v>
      </c>
      <c r="C102" s="77" t="s">
        <v>586</v>
      </c>
      <c r="D102" s="48" t="s">
        <v>594</v>
      </c>
      <c r="E102" s="80" t="s">
        <v>166</v>
      </c>
      <c r="F102" s="82">
        <v>25180499</v>
      </c>
      <c r="G102" s="46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</row>
    <row r="103" spans="1:23" ht="15">
      <c r="A103" s="75" t="s">
        <v>165</v>
      </c>
      <c r="B103" s="76">
        <v>42899</v>
      </c>
      <c r="C103" s="77" t="s">
        <v>586</v>
      </c>
      <c r="D103" s="48" t="s">
        <v>594</v>
      </c>
      <c r="E103" s="80" t="s">
        <v>167</v>
      </c>
      <c r="F103" s="82">
        <v>13704913</v>
      </c>
      <c r="G103" s="46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</row>
    <row r="104" spans="1:23" ht="15">
      <c r="A104" s="75" t="s">
        <v>165</v>
      </c>
      <c r="B104" s="76">
        <v>42899</v>
      </c>
      <c r="C104" s="77" t="s">
        <v>586</v>
      </c>
      <c r="D104" s="48" t="s">
        <v>594</v>
      </c>
      <c r="E104" s="80" t="s">
        <v>168</v>
      </c>
      <c r="F104" s="82">
        <v>4083325</v>
      </c>
      <c r="G104" s="46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</row>
    <row r="105" spans="1:23" ht="15">
      <c r="A105" s="75" t="s">
        <v>165</v>
      </c>
      <c r="B105" s="76">
        <v>42899</v>
      </c>
      <c r="C105" s="77" t="s">
        <v>586</v>
      </c>
      <c r="D105" s="48" t="s">
        <v>594</v>
      </c>
      <c r="E105" s="80" t="s">
        <v>169</v>
      </c>
      <c r="F105" s="82">
        <v>8166642</v>
      </c>
      <c r="G105" s="46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</row>
    <row r="106" spans="1:23" ht="15">
      <c r="A106" s="75" t="s">
        <v>165</v>
      </c>
      <c r="B106" s="76">
        <v>42899</v>
      </c>
      <c r="C106" s="77" t="s">
        <v>586</v>
      </c>
      <c r="D106" s="48" t="s">
        <v>594</v>
      </c>
      <c r="E106" s="80" t="s">
        <v>170</v>
      </c>
      <c r="F106" s="82">
        <v>1361107</v>
      </c>
      <c r="G106" s="46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</row>
    <row r="107" spans="1:23" ht="15">
      <c r="A107" s="75" t="s">
        <v>171</v>
      </c>
      <c r="B107" s="76">
        <v>42900</v>
      </c>
      <c r="C107" s="77" t="s">
        <v>586</v>
      </c>
      <c r="D107" s="48" t="s">
        <v>593</v>
      </c>
      <c r="E107" s="80" t="s">
        <v>172</v>
      </c>
      <c r="F107" s="82">
        <v>10956268.450000001</v>
      </c>
      <c r="G107" s="46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</row>
    <row r="108" spans="1:23" ht="15">
      <c r="A108" s="75" t="s">
        <v>171</v>
      </c>
      <c r="B108" s="76">
        <v>42900</v>
      </c>
      <c r="C108" s="77" t="s">
        <v>586</v>
      </c>
      <c r="D108" s="48" t="s">
        <v>598</v>
      </c>
      <c r="E108" s="80" t="s">
        <v>173</v>
      </c>
      <c r="F108" s="82">
        <v>5624</v>
      </c>
      <c r="G108" s="46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</row>
    <row r="109" spans="1:23" ht="15">
      <c r="A109" s="75" t="s">
        <v>171</v>
      </c>
      <c r="B109" s="76">
        <v>42900</v>
      </c>
      <c r="C109" s="77" t="s">
        <v>586</v>
      </c>
      <c r="D109" s="48" t="s">
        <v>598</v>
      </c>
      <c r="E109" s="80" t="s">
        <v>174</v>
      </c>
      <c r="F109" s="82">
        <v>3980</v>
      </c>
      <c r="G109" s="46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</row>
    <row r="110" spans="1:23" ht="15">
      <c r="A110" s="75" t="s">
        <v>171</v>
      </c>
      <c r="B110" s="76">
        <v>42900</v>
      </c>
      <c r="C110" s="77" t="s">
        <v>586</v>
      </c>
      <c r="D110" s="48" t="s">
        <v>598</v>
      </c>
      <c r="E110" s="80" t="s">
        <v>175</v>
      </c>
      <c r="F110" s="82">
        <v>1287867</v>
      </c>
      <c r="G110" s="46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</row>
    <row r="111" spans="1:23" ht="15">
      <c r="A111" s="75" t="s">
        <v>171</v>
      </c>
      <c r="B111" s="76">
        <v>42900</v>
      </c>
      <c r="C111" s="77" t="s">
        <v>586</v>
      </c>
      <c r="D111" s="48" t="s">
        <v>598</v>
      </c>
      <c r="E111" s="80" t="s">
        <v>176</v>
      </c>
      <c r="F111" s="82">
        <v>5624</v>
      </c>
      <c r="G111" s="46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</row>
    <row r="112" spans="1:23" ht="15">
      <c r="A112" s="75" t="s">
        <v>171</v>
      </c>
      <c r="B112" s="76">
        <v>42900</v>
      </c>
      <c r="C112" s="77" t="s">
        <v>586</v>
      </c>
      <c r="D112" s="48" t="s">
        <v>598</v>
      </c>
      <c r="E112" s="80" t="s">
        <v>177</v>
      </c>
      <c r="F112" s="82">
        <v>7386</v>
      </c>
      <c r="G112" s="46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</row>
    <row r="113" spans="1:23" ht="15">
      <c r="A113" s="75" t="s">
        <v>171</v>
      </c>
      <c r="B113" s="76">
        <v>42900</v>
      </c>
      <c r="C113" s="77" t="s">
        <v>586</v>
      </c>
      <c r="D113" s="48" t="s">
        <v>619</v>
      </c>
      <c r="E113" s="80" t="s">
        <v>178</v>
      </c>
      <c r="F113" s="82">
        <v>16700</v>
      </c>
      <c r="G113" s="46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</row>
    <row r="114" spans="1:23" ht="15">
      <c r="A114" s="75" t="s">
        <v>171</v>
      </c>
      <c r="B114" s="76">
        <v>42900</v>
      </c>
      <c r="C114" s="77" t="s">
        <v>586</v>
      </c>
      <c r="D114" s="48" t="s">
        <v>609</v>
      </c>
      <c r="E114" s="80" t="s">
        <v>179</v>
      </c>
      <c r="F114" s="82">
        <v>37849.6</v>
      </c>
      <c r="G114" s="46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</row>
    <row r="115" spans="1:23" ht="15">
      <c r="A115" s="75" t="s">
        <v>171</v>
      </c>
      <c r="B115" s="76">
        <v>42900</v>
      </c>
      <c r="C115" s="77" t="s">
        <v>586</v>
      </c>
      <c r="D115" s="48" t="s">
        <v>180</v>
      </c>
      <c r="E115" s="80" t="s">
        <v>181</v>
      </c>
      <c r="F115" s="82">
        <v>35850</v>
      </c>
      <c r="G115" s="46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</row>
    <row r="116" spans="1:23" ht="15">
      <c r="A116" s="75" t="s">
        <v>171</v>
      </c>
      <c r="B116" s="76">
        <v>42900</v>
      </c>
      <c r="C116" s="77" t="s">
        <v>586</v>
      </c>
      <c r="D116" s="48" t="s">
        <v>614</v>
      </c>
      <c r="E116" s="80" t="s">
        <v>182</v>
      </c>
      <c r="F116" s="46">
        <v>8350</v>
      </c>
      <c r="G116" s="46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</row>
    <row r="117" spans="1:23" ht="15">
      <c r="A117" s="75" t="s">
        <v>171</v>
      </c>
      <c r="B117" s="76">
        <v>42900</v>
      </c>
      <c r="C117" s="77" t="s">
        <v>586</v>
      </c>
      <c r="D117" s="48" t="s">
        <v>614</v>
      </c>
      <c r="E117" s="80" t="s">
        <v>183</v>
      </c>
      <c r="F117" s="46">
        <v>4220</v>
      </c>
      <c r="G117" s="46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</row>
    <row r="118" spans="1:23" ht="15">
      <c r="A118" s="75" t="s">
        <v>184</v>
      </c>
      <c r="B118" s="76">
        <v>42905</v>
      </c>
      <c r="C118" s="77" t="s">
        <v>586</v>
      </c>
      <c r="D118" s="48" t="s">
        <v>595</v>
      </c>
      <c r="E118" s="80" t="s">
        <v>185</v>
      </c>
      <c r="F118" s="46">
        <v>25853</v>
      </c>
      <c r="G118" s="46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</row>
    <row r="119" spans="1:23" ht="15">
      <c r="A119" s="75" t="s">
        <v>184</v>
      </c>
      <c r="B119" s="76">
        <v>42905</v>
      </c>
      <c r="C119" s="77" t="s">
        <v>586</v>
      </c>
      <c r="D119" s="48" t="s">
        <v>595</v>
      </c>
      <c r="E119" s="80" t="s">
        <v>185</v>
      </c>
      <c r="F119" s="46">
        <v>23500</v>
      </c>
      <c r="G119" s="46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</row>
    <row r="120" spans="1:23" ht="15">
      <c r="A120" s="75" t="s">
        <v>184</v>
      </c>
      <c r="B120" s="76">
        <v>42905</v>
      </c>
      <c r="C120" s="77" t="s">
        <v>586</v>
      </c>
      <c r="D120" s="48" t="s">
        <v>595</v>
      </c>
      <c r="E120" s="80" t="s">
        <v>186</v>
      </c>
      <c r="F120" s="46">
        <v>23500</v>
      </c>
      <c r="G120" s="46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</row>
    <row r="121" spans="1:23" ht="15">
      <c r="A121" s="75" t="s">
        <v>184</v>
      </c>
      <c r="B121" s="76">
        <v>42905</v>
      </c>
      <c r="C121" s="77" t="s">
        <v>586</v>
      </c>
      <c r="D121" s="48" t="s">
        <v>1</v>
      </c>
      <c r="E121" s="80" t="s">
        <v>187</v>
      </c>
      <c r="F121" s="46">
        <v>1594023.9000000001</v>
      </c>
      <c r="G121" s="46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</row>
    <row r="122" spans="1:23" ht="15">
      <c r="A122" s="75" t="s">
        <v>184</v>
      </c>
      <c r="B122" s="76">
        <v>42905</v>
      </c>
      <c r="C122" s="77" t="s">
        <v>586</v>
      </c>
      <c r="D122" s="48" t="s">
        <v>604</v>
      </c>
      <c r="E122" s="80" t="s">
        <v>188</v>
      </c>
      <c r="F122" s="46">
        <v>14960.68</v>
      </c>
      <c r="G122" s="46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</row>
    <row r="123" spans="1:23" ht="15">
      <c r="A123" s="75" t="s">
        <v>184</v>
      </c>
      <c r="B123" s="76">
        <v>42905</v>
      </c>
      <c r="C123" s="77" t="s">
        <v>586</v>
      </c>
      <c r="D123" s="48" t="s">
        <v>120</v>
      </c>
      <c r="E123" s="80" t="s">
        <v>189</v>
      </c>
      <c r="F123" s="46">
        <v>45000</v>
      </c>
      <c r="G123" s="46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</row>
    <row r="124" spans="1:23" ht="15">
      <c r="A124" s="75" t="s">
        <v>184</v>
      </c>
      <c r="B124" s="76">
        <v>42905</v>
      </c>
      <c r="C124" s="77" t="s">
        <v>586</v>
      </c>
      <c r="D124" s="48" t="s">
        <v>616</v>
      </c>
      <c r="E124" s="80" t="s">
        <v>190</v>
      </c>
      <c r="F124" s="46">
        <v>897139.85</v>
      </c>
      <c r="G124" s="46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</row>
    <row r="125" spans="1:23" ht="15">
      <c r="A125" s="75" t="s">
        <v>184</v>
      </c>
      <c r="B125" s="76">
        <v>42905</v>
      </c>
      <c r="C125" s="77" t="s">
        <v>586</v>
      </c>
      <c r="D125" s="48" t="s">
        <v>191</v>
      </c>
      <c r="E125" s="80" t="s">
        <v>192</v>
      </c>
      <c r="F125" s="46">
        <v>75783.64</v>
      </c>
      <c r="G125" s="46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</row>
    <row r="126" spans="1:23" ht="15">
      <c r="A126" s="75" t="s">
        <v>193</v>
      </c>
      <c r="B126" s="76">
        <v>42906</v>
      </c>
      <c r="C126" s="77" t="s">
        <v>586</v>
      </c>
      <c r="D126" s="48" t="s">
        <v>294</v>
      </c>
      <c r="E126" s="80" t="s">
        <v>194</v>
      </c>
      <c r="F126" s="46">
        <v>21050</v>
      </c>
      <c r="G126" s="46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</row>
    <row r="127" spans="1:23" ht="15">
      <c r="A127" s="75" t="s">
        <v>193</v>
      </c>
      <c r="B127" s="76">
        <v>42906</v>
      </c>
      <c r="C127" s="77" t="s">
        <v>586</v>
      </c>
      <c r="D127" s="48" t="s">
        <v>294</v>
      </c>
      <c r="E127" s="80" t="s">
        <v>195</v>
      </c>
      <c r="F127" s="46">
        <v>45390</v>
      </c>
      <c r="G127" s="46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</row>
    <row r="128" spans="1:23" ht="15">
      <c r="A128" s="75" t="s">
        <v>193</v>
      </c>
      <c r="B128" s="76">
        <v>42906</v>
      </c>
      <c r="C128" s="77" t="s">
        <v>586</v>
      </c>
      <c r="D128" s="48" t="s">
        <v>294</v>
      </c>
      <c r="E128" s="80" t="s">
        <v>196</v>
      </c>
      <c r="F128" s="46">
        <v>15500</v>
      </c>
      <c r="G128" s="46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</row>
    <row r="129" spans="1:23" ht="15">
      <c r="A129" s="75" t="s">
        <v>193</v>
      </c>
      <c r="B129" s="76">
        <v>42906</v>
      </c>
      <c r="C129" s="77" t="s">
        <v>586</v>
      </c>
      <c r="D129" s="48" t="s">
        <v>294</v>
      </c>
      <c r="E129" s="80" t="s">
        <v>197</v>
      </c>
      <c r="F129" s="46">
        <v>253450</v>
      </c>
      <c r="G129" s="46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</row>
    <row r="130" spans="1:23" ht="15">
      <c r="A130" s="75" t="s">
        <v>193</v>
      </c>
      <c r="B130" s="76">
        <v>42906</v>
      </c>
      <c r="C130" s="77" t="s">
        <v>586</v>
      </c>
      <c r="D130" s="48" t="s">
        <v>294</v>
      </c>
      <c r="E130" s="80" t="s">
        <v>198</v>
      </c>
      <c r="F130" s="46">
        <v>371639</v>
      </c>
      <c r="G130" s="46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</row>
    <row r="131" spans="1:23" ht="15">
      <c r="A131" s="75" t="s">
        <v>199</v>
      </c>
      <c r="B131" s="76">
        <v>42906</v>
      </c>
      <c r="C131" s="77" t="s">
        <v>586</v>
      </c>
      <c r="D131" s="48" t="s">
        <v>607</v>
      </c>
      <c r="E131" s="80" t="s">
        <v>200</v>
      </c>
      <c r="F131" s="46">
        <v>93150</v>
      </c>
      <c r="G131" s="46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</row>
    <row r="132" spans="1:23" ht="15">
      <c r="A132" s="75" t="s">
        <v>199</v>
      </c>
      <c r="B132" s="76">
        <v>42906</v>
      </c>
      <c r="C132" s="77" t="s">
        <v>586</v>
      </c>
      <c r="D132" s="48" t="s">
        <v>607</v>
      </c>
      <c r="E132" s="80" t="s">
        <v>201</v>
      </c>
      <c r="F132" s="46">
        <v>70480</v>
      </c>
      <c r="G132" s="46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</row>
    <row r="133" spans="1:23" ht="15">
      <c r="A133" s="75" t="s">
        <v>199</v>
      </c>
      <c r="B133" s="76">
        <v>42906</v>
      </c>
      <c r="C133" s="77" t="s">
        <v>586</v>
      </c>
      <c r="D133" s="48" t="s">
        <v>607</v>
      </c>
      <c r="E133" s="80" t="s">
        <v>202</v>
      </c>
      <c r="F133" s="46">
        <v>99945</v>
      </c>
      <c r="G133" s="46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</row>
    <row r="134" spans="1:23" ht="15">
      <c r="A134" s="75" t="s">
        <v>199</v>
      </c>
      <c r="B134" s="76">
        <v>42906</v>
      </c>
      <c r="C134" s="77" t="s">
        <v>586</v>
      </c>
      <c r="D134" s="48" t="s">
        <v>607</v>
      </c>
      <c r="E134" s="80" t="s">
        <v>203</v>
      </c>
      <c r="F134" s="46">
        <v>101945</v>
      </c>
      <c r="G134" s="46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</row>
    <row r="135" spans="1:23" ht="15">
      <c r="A135" s="75" t="s">
        <v>199</v>
      </c>
      <c r="B135" s="76">
        <v>42906</v>
      </c>
      <c r="C135" s="77" t="s">
        <v>586</v>
      </c>
      <c r="D135" s="48" t="s">
        <v>606</v>
      </c>
      <c r="E135" s="80" t="s">
        <v>204</v>
      </c>
      <c r="F135" s="46">
        <v>24034.94</v>
      </c>
      <c r="G135" s="46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</row>
    <row r="136" spans="1:23" ht="15">
      <c r="A136" s="75" t="s">
        <v>199</v>
      </c>
      <c r="B136" s="76">
        <v>42906</v>
      </c>
      <c r="C136" s="77" t="s">
        <v>586</v>
      </c>
      <c r="D136" s="48" t="s">
        <v>205</v>
      </c>
      <c r="E136" s="80" t="s">
        <v>206</v>
      </c>
      <c r="F136" s="46">
        <v>27451.75</v>
      </c>
      <c r="G136" s="46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</row>
    <row r="137" spans="1:23" ht="15">
      <c r="A137" s="75" t="s">
        <v>199</v>
      </c>
      <c r="B137" s="76">
        <v>42906</v>
      </c>
      <c r="C137" s="77" t="s">
        <v>586</v>
      </c>
      <c r="D137" s="48" t="s">
        <v>621</v>
      </c>
      <c r="E137" s="80" t="s">
        <v>207</v>
      </c>
      <c r="F137" s="46">
        <v>65463.75</v>
      </c>
      <c r="G137" s="46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</row>
    <row r="138" spans="1:23" ht="15">
      <c r="A138" s="75" t="s">
        <v>199</v>
      </c>
      <c r="B138" s="76">
        <v>42906</v>
      </c>
      <c r="C138" s="77" t="s">
        <v>586</v>
      </c>
      <c r="D138" s="48" t="s">
        <v>120</v>
      </c>
      <c r="E138" s="80" t="s">
        <v>208</v>
      </c>
      <c r="F138" s="46">
        <v>30000</v>
      </c>
      <c r="G138" s="46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</row>
    <row r="139" spans="1:23" ht="15">
      <c r="A139" s="75" t="s">
        <v>209</v>
      </c>
      <c r="B139" s="76">
        <v>42907</v>
      </c>
      <c r="C139" s="77" t="s">
        <v>586</v>
      </c>
      <c r="D139" s="48" t="s">
        <v>595</v>
      </c>
      <c r="E139" s="80" t="s">
        <v>210</v>
      </c>
      <c r="F139" s="46">
        <v>33783</v>
      </c>
      <c r="G139" s="46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</row>
    <row r="140" spans="1:23" ht="15">
      <c r="A140" s="75" t="s">
        <v>209</v>
      </c>
      <c r="B140" s="76">
        <v>42907</v>
      </c>
      <c r="C140" s="77" t="s">
        <v>586</v>
      </c>
      <c r="D140" s="48" t="s">
        <v>595</v>
      </c>
      <c r="E140" s="80" t="s">
        <v>211</v>
      </c>
      <c r="F140" s="46">
        <v>192400</v>
      </c>
      <c r="G140" s="46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</row>
    <row r="141" spans="1:23" ht="15">
      <c r="A141" s="75" t="s">
        <v>209</v>
      </c>
      <c r="B141" s="76">
        <v>42907</v>
      </c>
      <c r="C141" s="77" t="s">
        <v>586</v>
      </c>
      <c r="D141" s="48" t="s">
        <v>212</v>
      </c>
      <c r="E141" s="80" t="s">
        <v>213</v>
      </c>
      <c r="F141" s="46">
        <v>249999</v>
      </c>
      <c r="G141" s="46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</row>
    <row r="142" spans="1:23" ht="15">
      <c r="A142" s="75" t="s">
        <v>209</v>
      </c>
      <c r="B142" s="76">
        <v>42907</v>
      </c>
      <c r="C142" s="77" t="s">
        <v>586</v>
      </c>
      <c r="D142" s="48" t="s">
        <v>214</v>
      </c>
      <c r="E142" s="80" t="s">
        <v>215</v>
      </c>
      <c r="F142" s="46">
        <v>279000</v>
      </c>
      <c r="G142" s="46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</row>
    <row r="143" spans="1:23" ht="15">
      <c r="A143" s="75" t="s">
        <v>209</v>
      </c>
      <c r="B143" s="76">
        <v>42907</v>
      </c>
      <c r="C143" s="77" t="s">
        <v>586</v>
      </c>
      <c r="D143" s="48" t="s">
        <v>216</v>
      </c>
      <c r="E143" s="80" t="s">
        <v>217</v>
      </c>
      <c r="F143" s="46">
        <v>247815</v>
      </c>
      <c r="G143" s="46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</row>
    <row r="144" spans="1:23" ht="15">
      <c r="A144" s="75" t="s">
        <v>209</v>
      </c>
      <c r="B144" s="76">
        <v>42907</v>
      </c>
      <c r="C144" s="77" t="s">
        <v>586</v>
      </c>
      <c r="D144" s="48" t="s">
        <v>218</v>
      </c>
      <c r="E144" s="80" t="s">
        <v>219</v>
      </c>
      <c r="F144" s="46">
        <v>11529</v>
      </c>
      <c r="G144" s="46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</row>
    <row r="145" spans="1:23" ht="15">
      <c r="A145" s="75" t="s">
        <v>209</v>
      </c>
      <c r="B145" s="76">
        <v>42907</v>
      </c>
      <c r="C145" s="77" t="s">
        <v>586</v>
      </c>
      <c r="D145" s="48" t="s">
        <v>220</v>
      </c>
      <c r="E145" s="80" t="s">
        <v>221</v>
      </c>
      <c r="F145" s="46">
        <v>131627.72</v>
      </c>
      <c r="G145" s="46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</row>
    <row r="146" spans="1:23" ht="15">
      <c r="A146" s="75" t="s">
        <v>209</v>
      </c>
      <c r="B146" s="76">
        <v>42907</v>
      </c>
      <c r="C146" s="77" t="s">
        <v>586</v>
      </c>
      <c r="D146" s="48" t="s">
        <v>220</v>
      </c>
      <c r="E146" s="80" t="s">
        <v>222</v>
      </c>
      <c r="F146" s="46">
        <v>36791.5</v>
      </c>
      <c r="G146" s="46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</row>
    <row r="147" spans="1:23" ht="15">
      <c r="A147" s="75" t="s">
        <v>209</v>
      </c>
      <c r="B147" s="76">
        <v>42907</v>
      </c>
      <c r="C147" s="77" t="s">
        <v>586</v>
      </c>
      <c r="D147" s="48" t="s">
        <v>220</v>
      </c>
      <c r="E147" s="80" t="s">
        <v>223</v>
      </c>
      <c r="F147" s="46">
        <v>131627.72</v>
      </c>
      <c r="G147" s="46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</row>
    <row r="148" spans="1:23" ht="15">
      <c r="A148" s="75" t="s">
        <v>209</v>
      </c>
      <c r="B148" s="76">
        <v>42907</v>
      </c>
      <c r="C148" s="77" t="s">
        <v>586</v>
      </c>
      <c r="D148" s="48" t="s">
        <v>220</v>
      </c>
      <c r="E148" s="80" t="s">
        <v>224</v>
      </c>
      <c r="F148" s="46">
        <v>36791.5</v>
      </c>
      <c r="G148" s="46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</row>
    <row r="149" spans="1:23" ht="15">
      <c r="A149" s="75" t="s">
        <v>209</v>
      </c>
      <c r="B149" s="76">
        <v>42907</v>
      </c>
      <c r="C149" s="77" t="s">
        <v>586</v>
      </c>
      <c r="D149" s="48" t="s">
        <v>225</v>
      </c>
      <c r="E149" s="80" t="s">
        <v>226</v>
      </c>
      <c r="F149" s="46">
        <v>446434.04000000004</v>
      </c>
      <c r="G149" s="46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</row>
    <row r="150" spans="1:23" ht="15">
      <c r="A150" s="75" t="s">
        <v>209</v>
      </c>
      <c r="B150" s="76">
        <v>42907</v>
      </c>
      <c r="C150" s="77" t="s">
        <v>586</v>
      </c>
      <c r="D150" s="48" t="s">
        <v>601</v>
      </c>
      <c r="E150" s="80" t="s">
        <v>227</v>
      </c>
      <c r="F150" s="46">
        <v>595330.4</v>
      </c>
      <c r="G150" s="46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</row>
    <row r="151" spans="1:23" ht="15">
      <c r="A151" s="75" t="s">
        <v>209</v>
      </c>
      <c r="B151" s="76">
        <v>42907</v>
      </c>
      <c r="C151" s="77" t="s">
        <v>586</v>
      </c>
      <c r="D151" s="48" t="s">
        <v>597</v>
      </c>
      <c r="E151" s="80" t="s">
        <v>228</v>
      </c>
      <c r="F151" s="46">
        <v>686000</v>
      </c>
      <c r="G151" s="46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</row>
    <row r="152" spans="1:23" ht="15">
      <c r="A152" s="75" t="s">
        <v>209</v>
      </c>
      <c r="B152" s="76">
        <v>42907</v>
      </c>
      <c r="C152" s="77" t="s">
        <v>586</v>
      </c>
      <c r="D152" s="48" t="s">
        <v>229</v>
      </c>
      <c r="E152" s="80" t="s">
        <v>230</v>
      </c>
      <c r="F152" s="46">
        <v>471333.95</v>
      </c>
      <c r="G152" s="46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</row>
    <row r="153" spans="1:23" ht="15">
      <c r="A153" s="75" t="s">
        <v>209</v>
      </c>
      <c r="B153" s="76">
        <v>42907</v>
      </c>
      <c r="C153" s="77" t="s">
        <v>586</v>
      </c>
      <c r="D153" s="48" t="s">
        <v>229</v>
      </c>
      <c r="E153" s="80" t="s">
        <v>231</v>
      </c>
      <c r="F153" s="46">
        <v>471333.95</v>
      </c>
      <c r="G153" s="46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</row>
    <row r="154" spans="1:23" ht="15">
      <c r="A154" s="75" t="s">
        <v>209</v>
      </c>
      <c r="B154" s="76">
        <v>42907</v>
      </c>
      <c r="C154" s="77" t="s">
        <v>586</v>
      </c>
      <c r="D154" s="48" t="s">
        <v>618</v>
      </c>
      <c r="E154" s="80" t="s">
        <v>232</v>
      </c>
      <c r="F154" s="46">
        <v>190453.4</v>
      </c>
      <c r="G154" s="46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</row>
    <row r="155" spans="1:23" ht="15">
      <c r="A155" s="75" t="s">
        <v>209</v>
      </c>
      <c r="B155" s="76">
        <v>42907</v>
      </c>
      <c r="C155" s="77" t="s">
        <v>586</v>
      </c>
      <c r="D155" s="48" t="s">
        <v>294</v>
      </c>
      <c r="E155" s="80" t="s">
        <v>233</v>
      </c>
      <c r="F155" s="46">
        <v>2000000</v>
      </c>
      <c r="G155" s="46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</row>
    <row r="156" spans="1:23" ht="15">
      <c r="A156" s="75" t="s">
        <v>209</v>
      </c>
      <c r="B156" s="76">
        <v>42907</v>
      </c>
      <c r="C156" s="77" t="s">
        <v>586</v>
      </c>
      <c r="D156" s="48" t="s">
        <v>607</v>
      </c>
      <c r="E156" s="80" t="s">
        <v>234</v>
      </c>
      <c r="F156" s="46">
        <v>2688613.35</v>
      </c>
      <c r="G156" s="46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</row>
    <row r="157" spans="1:23" ht="15">
      <c r="A157" s="75" t="s">
        <v>209</v>
      </c>
      <c r="B157" s="76">
        <v>42907</v>
      </c>
      <c r="C157" s="77" t="s">
        <v>586</v>
      </c>
      <c r="D157" s="48" t="s">
        <v>607</v>
      </c>
      <c r="E157" s="80" t="s">
        <v>235</v>
      </c>
      <c r="F157" s="46">
        <v>338036.3</v>
      </c>
      <c r="G157" s="46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</row>
    <row r="158" spans="1:23" ht="15">
      <c r="A158" s="75" t="s">
        <v>209</v>
      </c>
      <c r="B158" s="76">
        <v>42907</v>
      </c>
      <c r="C158" s="77" t="s">
        <v>586</v>
      </c>
      <c r="D158" s="48" t="s">
        <v>607</v>
      </c>
      <c r="E158" s="80" t="s">
        <v>236</v>
      </c>
      <c r="F158" s="46">
        <v>186631.2</v>
      </c>
      <c r="G158" s="46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</row>
    <row r="159" spans="1:23" ht="15">
      <c r="A159" s="75" t="s">
        <v>209</v>
      </c>
      <c r="B159" s="76">
        <v>42907</v>
      </c>
      <c r="C159" s="77" t="s">
        <v>586</v>
      </c>
      <c r="D159" s="48" t="s">
        <v>609</v>
      </c>
      <c r="E159" s="80" t="s">
        <v>237</v>
      </c>
      <c r="F159" s="46">
        <v>37850</v>
      </c>
      <c r="G159" s="46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</row>
    <row r="160" spans="1:23" ht="15">
      <c r="A160" s="75" t="s">
        <v>238</v>
      </c>
      <c r="B160" s="76">
        <v>42913</v>
      </c>
      <c r="C160" s="77" t="s">
        <v>586</v>
      </c>
      <c r="D160" s="48" t="s">
        <v>595</v>
      </c>
      <c r="E160" s="80" t="s">
        <v>239</v>
      </c>
      <c r="F160" s="46">
        <v>25885</v>
      </c>
      <c r="G160" s="46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</row>
    <row r="161" spans="1:23" ht="15">
      <c r="A161" s="75" t="s">
        <v>238</v>
      </c>
      <c r="B161" s="76">
        <v>42913</v>
      </c>
      <c r="C161" s="77" t="s">
        <v>586</v>
      </c>
      <c r="D161" s="48" t="s">
        <v>595</v>
      </c>
      <c r="E161" s="80" t="s">
        <v>240</v>
      </c>
      <c r="F161" s="46">
        <v>23380</v>
      </c>
      <c r="G161" s="46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</row>
    <row r="162" spans="1:23" ht="15">
      <c r="A162" s="75" t="s">
        <v>238</v>
      </c>
      <c r="B162" s="76">
        <v>42913</v>
      </c>
      <c r="C162" s="77" t="s">
        <v>586</v>
      </c>
      <c r="D162" s="48" t="s">
        <v>595</v>
      </c>
      <c r="E162" s="80" t="s">
        <v>241</v>
      </c>
      <c r="F162" s="46">
        <v>69720</v>
      </c>
      <c r="G162" s="46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</row>
    <row r="163" spans="1:23" ht="15">
      <c r="A163" s="75" t="s">
        <v>238</v>
      </c>
      <c r="B163" s="76">
        <v>42913</v>
      </c>
      <c r="C163" s="77" t="s">
        <v>586</v>
      </c>
      <c r="D163" s="48" t="s">
        <v>242</v>
      </c>
      <c r="E163" s="80" t="s">
        <v>243</v>
      </c>
      <c r="F163" s="46">
        <v>418200</v>
      </c>
      <c r="G163" s="46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</row>
    <row r="164" spans="1:23" ht="15">
      <c r="A164" s="75" t="s">
        <v>238</v>
      </c>
      <c r="B164" s="76">
        <v>42913</v>
      </c>
      <c r="C164" s="77" t="s">
        <v>586</v>
      </c>
      <c r="D164" s="48" t="s">
        <v>214</v>
      </c>
      <c r="E164" s="80" t="s">
        <v>244</v>
      </c>
      <c r="F164" s="46">
        <v>180000</v>
      </c>
      <c r="G164" s="46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</row>
    <row r="165" spans="1:23" ht="15">
      <c r="A165" s="75" t="s">
        <v>238</v>
      </c>
      <c r="B165" s="76">
        <v>42913</v>
      </c>
      <c r="C165" s="77" t="s">
        <v>586</v>
      </c>
      <c r="D165" s="48" t="s">
        <v>245</v>
      </c>
      <c r="E165" s="80" t="s">
        <v>246</v>
      </c>
      <c r="F165" s="46">
        <v>250750</v>
      </c>
      <c r="G165" s="46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</row>
    <row r="166" spans="1:23" ht="15">
      <c r="A166" s="75" t="s">
        <v>238</v>
      </c>
      <c r="B166" s="76">
        <v>42913</v>
      </c>
      <c r="C166" s="77" t="s">
        <v>586</v>
      </c>
      <c r="D166" s="48" t="s">
        <v>247</v>
      </c>
      <c r="E166" s="80" t="s">
        <v>248</v>
      </c>
      <c r="F166" s="46">
        <v>101239.95</v>
      </c>
      <c r="G166" s="46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</row>
    <row r="167" spans="1:23" ht="15">
      <c r="A167" s="75" t="s">
        <v>238</v>
      </c>
      <c r="B167" s="76">
        <v>42913</v>
      </c>
      <c r="C167" s="77" t="s">
        <v>586</v>
      </c>
      <c r="D167" s="48" t="s">
        <v>249</v>
      </c>
      <c r="E167" s="80" t="s">
        <v>250</v>
      </c>
      <c r="F167" s="46">
        <v>25000</v>
      </c>
      <c r="G167" s="46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</row>
    <row r="168" spans="1:23" ht="15">
      <c r="A168" s="75" t="s">
        <v>238</v>
      </c>
      <c r="B168" s="76">
        <v>42913</v>
      </c>
      <c r="C168" s="77" t="s">
        <v>586</v>
      </c>
      <c r="D168" s="48" t="s">
        <v>251</v>
      </c>
      <c r="E168" s="80" t="s">
        <v>252</v>
      </c>
      <c r="F168" s="46">
        <v>42930</v>
      </c>
      <c r="G168" s="46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</row>
    <row r="169" spans="1:23" ht="15">
      <c r="A169" s="75" t="s">
        <v>238</v>
      </c>
      <c r="B169" s="76">
        <v>42913</v>
      </c>
      <c r="C169" s="77" t="s">
        <v>586</v>
      </c>
      <c r="D169" s="48" t="s">
        <v>597</v>
      </c>
      <c r="E169" s="80" t="s">
        <v>253</v>
      </c>
      <c r="F169" s="46">
        <v>686000</v>
      </c>
      <c r="G169" s="46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</row>
    <row r="170" spans="1:23" ht="15">
      <c r="A170" s="75" t="s">
        <v>238</v>
      </c>
      <c r="B170" s="76">
        <v>42913</v>
      </c>
      <c r="C170" s="77" t="s">
        <v>586</v>
      </c>
      <c r="D170" s="48" t="s">
        <v>0</v>
      </c>
      <c r="E170" s="80" t="s">
        <v>254</v>
      </c>
      <c r="F170" s="46">
        <v>402541.45</v>
      </c>
      <c r="G170" s="46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</row>
    <row r="171" spans="1:23" ht="15">
      <c r="A171" s="75" t="s">
        <v>238</v>
      </c>
      <c r="B171" s="76">
        <v>42913</v>
      </c>
      <c r="C171" s="77" t="s">
        <v>586</v>
      </c>
      <c r="D171" s="48" t="s">
        <v>605</v>
      </c>
      <c r="E171" s="80" t="s">
        <v>255</v>
      </c>
      <c r="F171" s="46">
        <v>309000</v>
      </c>
      <c r="G171" s="46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</row>
    <row r="172" spans="1:23" ht="15">
      <c r="A172" s="75" t="s">
        <v>238</v>
      </c>
      <c r="B172" s="76">
        <v>42913</v>
      </c>
      <c r="C172" s="77" t="s">
        <v>586</v>
      </c>
      <c r="D172" s="48" t="s">
        <v>602</v>
      </c>
      <c r="E172" s="80" t="s">
        <v>256</v>
      </c>
      <c r="F172" s="46">
        <v>44949</v>
      </c>
      <c r="G172" s="46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</row>
    <row r="173" spans="1:23" ht="15">
      <c r="A173" s="75" t="s">
        <v>238</v>
      </c>
      <c r="B173" s="76">
        <v>42913</v>
      </c>
      <c r="C173" s="77" t="s">
        <v>586</v>
      </c>
      <c r="D173" s="48" t="s">
        <v>81</v>
      </c>
      <c r="E173" s="80" t="s">
        <v>257</v>
      </c>
      <c r="F173" s="46">
        <v>5150</v>
      </c>
      <c r="G173" s="46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</row>
    <row r="174" spans="1:23" ht="15">
      <c r="A174" s="75" t="s">
        <v>258</v>
      </c>
      <c r="B174" s="76">
        <v>42914</v>
      </c>
      <c r="C174" s="77" t="s">
        <v>586</v>
      </c>
      <c r="D174" s="48" t="s">
        <v>294</v>
      </c>
      <c r="E174" s="80" t="s">
        <v>259</v>
      </c>
      <c r="F174" s="46">
        <v>7750</v>
      </c>
      <c r="G174" s="46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</row>
    <row r="175" spans="1:23" ht="15">
      <c r="A175" s="75" t="s">
        <v>258</v>
      </c>
      <c r="B175" s="76">
        <v>42914</v>
      </c>
      <c r="C175" s="77" t="s">
        <v>586</v>
      </c>
      <c r="D175" s="48" t="s">
        <v>294</v>
      </c>
      <c r="E175" s="80" t="s">
        <v>260</v>
      </c>
      <c r="F175" s="46">
        <v>9735</v>
      </c>
      <c r="G175" s="46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</row>
    <row r="176" spans="1:23" ht="15">
      <c r="A176" s="75" t="s">
        <v>258</v>
      </c>
      <c r="B176" s="76">
        <v>42914</v>
      </c>
      <c r="C176" s="77" t="s">
        <v>586</v>
      </c>
      <c r="D176" s="48" t="s">
        <v>294</v>
      </c>
      <c r="E176" s="80" t="s">
        <v>261</v>
      </c>
      <c r="F176" s="46">
        <v>7785</v>
      </c>
      <c r="G176" s="46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</row>
    <row r="177" spans="1:23" ht="15">
      <c r="A177" s="75" t="s">
        <v>258</v>
      </c>
      <c r="B177" s="76">
        <v>42914</v>
      </c>
      <c r="C177" s="77" t="s">
        <v>586</v>
      </c>
      <c r="D177" s="48" t="s">
        <v>294</v>
      </c>
      <c r="E177" s="80" t="s">
        <v>262</v>
      </c>
      <c r="F177" s="46">
        <v>1500</v>
      </c>
      <c r="G177" s="46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</row>
    <row r="178" spans="1:23" ht="15">
      <c r="A178" s="75" t="s">
        <v>258</v>
      </c>
      <c r="B178" s="76">
        <v>42914</v>
      </c>
      <c r="C178" s="77" t="s">
        <v>586</v>
      </c>
      <c r="D178" s="48" t="s">
        <v>294</v>
      </c>
      <c r="E178" s="80" t="s">
        <v>263</v>
      </c>
      <c r="F178" s="46">
        <v>20255</v>
      </c>
      <c r="G178" s="46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</row>
    <row r="179" spans="1:23" ht="15">
      <c r="A179" s="75" t="s">
        <v>258</v>
      </c>
      <c r="B179" s="76">
        <v>42914</v>
      </c>
      <c r="C179" s="77" t="s">
        <v>586</v>
      </c>
      <c r="D179" s="48" t="s">
        <v>294</v>
      </c>
      <c r="E179" s="80" t="s">
        <v>264</v>
      </c>
      <c r="F179" s="46">
        <v>10920</v>
      </c>
      <c r="G179" s="46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</row>
    <row r="180" spans="1:23" ht="15">
      <c r="A180" s="75" t="s">
        <v>258</v>
      </c>
      <c r="B180" s="76">
        <v>42914</v>
      </c>
      <c r="C180" s="77" t="s">
        <v>586</v>
      </c>
      <c r="D180" s="48" t="s">
        <v>294</v>
      </c>
      <c r="E180" s="80" t="s">
        <v>265</v>
      </c>
      <c r="F180" s="46">
        <v>40165</v>
      </c>
      <c r="G180" s="46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</row>
    <row r="181" spans="1:23" ht="15">
      <c r="A181" s="75" t="s">
        <v>258</v>
      </c>
      <c r="B181" s="76">
        <v>42914</v>
      </c>
      <c r="C181" s="77" t="s">
        <v>586</v>
      </c>
      <c r="D181" s="48" t="s">
        <v>294</v>
      </c>
      <c r="E181" s="80" t="s">
        <v>266</v>
      </c>
      <c r="F181" s="46">
        <v>1138700</v>
      </c>
      <c r="G181" s="46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</row>
    <row r="182" spans="1:23" ht="15">
      <c r="A182" s="75" t="s">
        <v>258</v>
      </c>
      <c r="B182" s="76">
        <v>42914</v>
      </c>
      <c r="C182" s="77" t="s">
        <v>586</v>
      </c>
      <c r="D182" s="48" t="s">
        <v>294</v>
      </c>
      <c r="E182" s="80" t="s">
        <v>267</v>
      </c>
      <c r="F182" s="46">
        <v>313737.49</v>
      </c>
      <c r="G182" s="46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</row>
    <row r="183" spans="1:23" ht="15">
      <c r="A183" s="75" t="s">
        <v>258</v>
      </c>
      <c r="B183" s="76">
        <v>42914</v>
      </c>
      <c r="C183" s="77" t="s">
        <v>586</v>
      </c>
      <c r="D183" s="48" t="s">
        <v>294</v>
      </c>
      <c r="E183" s="80" t="s">
        <v>268</v>
      </c>
      <c r="F183" s="46">
        <v>14400</v>
      </c>
      <c r="G183" s="46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</row>
    <row r="184" spans="1:23" ht="15">
      <c r="A184" s="75" t="s">
        <v>258</v>
      </c>
      <c r="B184" s="76">
        <v>42914</v>
      </c>
      <c r="C184" s="77" t="s">
        <v>586</v>
      </c>
      <c r="D184" s="48" t="s">
        <v>294</v>
      </c>
      <c r="E184" s="80" t="s">
        <v>269</v>
      </c>
      <c r="F184" s="46">
        <v>31500</v>
      </c>
      <c r="G184" s="46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</row>
    <row r="185" spans="1:23" ht="15">
      <c r="A185" s="75" t="s">
        <v>258</v>
      </c>
      <c r="B185" s="76">
        <v>42914</v>
      </c>
      <c r="C185" s="77" t="s">
        <v>586</v>
      </c>
      <c r="D185" s="48" t="s">
        <v>294</v>
      </c>
      <c r="E185" s="80" t="s">
        <v>270</v>
      </c>
      <c r="F185" s="46">
        <v>15000</v>
      </c>
      <c r="G185" s="46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</row>
    <row r="186" spans="1:23" ht="15">
      <c r="A186" s="75" t="s">
        <v>258</v>
      </c>
      <c r="B186" s="76">
        <v>42914</v>
      </c>
      <c r="C186" s="77" t="s">
        <v>586</v>
      </c>
      <c r="D186" s="48" t="s">
        <v>294</v>
      </c>
      <c r="E186" s="80" t="s">
        <v>271</v>
      </c>
      <c r="F186" s="46">
        <v>20950</v>
      </c>
      <c r="G186" s="46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</row>
    <row r="187" spans="1:23" ht="15">
      <c r="A187" s="75" t="s">
        <v>258</v>
      </c>
      <c r="B187" s="76">
        <v>42914</v>
      </c>
      <c r="C187" s="77" t="s">
        <v>586</v>
      </c>
      <c r="D187" s="48" t="s">
        <v>294</v>
      </c>
      <c r="E187" s="80" t="s">
        <v>272</v>
      </c>
      <c r="F187" s="46">
        <v>25644.600000000002</v>
      </c>
      <c r="G187" s="46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</row>
    <row r="188" spans="1:23" ht="15">
      <c r="A188" s="75" t="s">
        <v>258</v>
      </c>
      <c r="B188" s="76">
        <v>42914</v>
      </c>
      <c r="C188" s="77" t="s">
        <v>586</v>
      </c>
      <c r="D188" s="48" t="s">
        <v>294</v>
      </c>
      <c r="E188" s="80" t="s">
        <v>273</v>
      </c>
      <c r="F188" s="46">
        <v>21535</v>
      </c>
      <c r="G188" s="46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</row>
    <row r="189" spans="1:23" ht="15">
      <c r="A189" s="75" t="s">
        <v>258</v>
      </c>
      <c r="B189" s="76">
        <v>42914</v>
      </c>
      <c r="C189" s="77" t="s">
        <v>586</v>
      </c>
      <c r="D189" s="48" t="s">
        <v>294</v>
      </c>
      <c r="E189" s="80" t="s">
        <v>274</v>
      </c>
      <c r="F189" s="46">
        <v>7100</v>
      </c>
      <c r="G189" s="46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</row>
    <row r="190" spans="1:23" ht="15">
      <c r="A190" s="75" t="s">
        <v>258</v>
      </c>
      <c r="B190" s="76">
        <v>42914</v>
      </c>
      <c r="C190" s="77" t="s">
        <v>586</v>
      </c>
      <c r="D190" s="48" t="s">
        <v>294</v>
      </c>
      <c r="E190" s="80" t="s">
        <v>275</v>
      </c>
      <c r="F190" s="46">
        <v>18910</v>
      </c>
      <c r="G190" s="46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</row>
    <row r="191" spans="1:23" ht="15">
      <c r="A191" s="75" t="s">
        <v>258</v>
      </c>
      <c r="B191" s="76">
        <v>42914</v>
      </c>
      <c r="C191" s="77" t="s">
        <v>586</v>
      </c>
      <c r="D191" s="48" t="s">
        <v>294</v>
      </c>
      <c r="E191" s="80" t="s">
        <v>276</v>
      </c>
      <c r="F191" s="46">
        <v>8625</v>
      </c>
      <c r="G191" s="46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</row>
    <row r="192" spans="1:23" ht="15">
      <c r="A192" s="75" t="s">
        <v>258</v>
      </c>
      <c r="B192" s="76">
        <v>42914</v>
      </c>
      <c r="C192" s="77" t="s">
        <v>586</v>
      </c>
      <c r="D192" s="48" t="s">
        <v>294</v>
      </c>
      <c r="E192" s="80" t="s">
        <v>277</v>
      </c>
      <c r="F192" s="46">
        <v>9645</v>
      </c>
      <c r="G192" s="46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</row>
    <row r="193" spans="1:23" ht="15">
      <c r="A193" s="75" t="s">
        <v>258</v>
      </c>
      <c r="B193" s="76">
        <v>42914</v>
      </c>
      <c r="C193" s="77" t="s">
        <v>586</v>
      </c>
      <c r="D193" s="48" t="s">
        <v>294</v>
      </c>
      <c r="E193" s="80" t="s">
        <v>278</v>
      </c>
      <c r="F193" s="46">
        <v>9300</v>
      </c>
      <c r="G193" s="46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</row>
    <row r="194" spans="1:23" ht="15">
      <c r="A194" s="75" t="s">
        <v>258</v>
      </c>
      <c r="B194" s="76">
        <v>42914</v>
      </c>
      <c r="C194" s="77" t="s">
        <v>586</v>
      </c>
      <c r="D194" s="48" t="s">
        <v>294</v>
      </c>
      <c r="E194" s="80" t="s">
        <v>279</v>
      </c>
      <c r="F194" s="46">
        <v>12995</v>
      </c>
      <c r="G194" s="46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</row>
    <row r="195" spans="1:23" ht="15">
      <c r="A195" s="75" t="s">
        <v>258</v>
      </c>
      <c r="B195" s="76">
        <v>42914</v>
      </c>
      <c r="C195" s="77" t="s">
        <v>586</v>
      </c>
      <c r="D195" s="48" t="s">
        <v>294</v>
      </c>
      <c r="E195" s="80" t="s">
        <v>280</v>
      </c>
      <c r="F195" s="46">
        <v>17385</v>
      </c>
      <c r="G195" s="46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</row>
    <row r="196" spans="1:23" ht="15">
      <c r="A196" s="75" t="s">
        <v>258</v>
      </c>
      <c r="B196" s="76">
        <v>42914</v>
      </c>
      <c r="C196" s="77" t="s">
        <v>586</v>
      </c>
      <c r="D196" s="48" t="s">
        <v>294</v>
      </c>
      <c r="E196" s="80" t="s">
        <v>281</v>
      </c>
      <c r="F196" s="46">
        <v>6495</v>
      </c>
      <c r="G196" s="46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</row>
    <row r="197" spans="1:23" ht="15">
      <c r="A197" s="75" t="s">
        <v>258</v>
      </c>
      <c r="B197" s="76">
        <v>42914</v>
      </c>
      <c r="C197" s="77" t="s">
        <v>586</v>
      </c>
      <c r="D197" s="48" t="s">
        <v>294</v>
      </c>
      <c r="E197" s="80" t="s">
        <v>282</v>
      </c>
      <c r="F197" s="46">
        <v>3850</v>
      </c>
      <c r="G197" s="46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</row>
    <row r="198" spans="1:23" ht="15">
      <c r="A198" s="75" t="s">
        <v>258</v>
      </c>
      <c r="B198" s="76">
        <v>42914</v>
      </c>
      <c r="C198" s="77" t="s">
        <v>586</v>
      </c>
      <c r="D198" s="48" t="s">
        <v>294</v>
      </c>
      <c r="E198" s="80" t="s">
        <v>283</v>
      </c>
      <c r="F198" s="46">
        <v>800</v>
      </c>
      <c r="G198" s="46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</row>
    <row r="199" spans="1:23" ht="15">
      <c r="A199" s="75" t="s">
        <v>258</v>
      </c>
      <c r="B199" s="76">
        <v>42914</v>
      </c>
      <c r="C199" s="77" t="s">
        <v>586</v>
      </c>
      <c r="D199" s="48" t="s">
        <v>294</v>
      </c>
      <c r="E199" s="80" t="s">
        <v>284</v>
      </c>
      <c r="F199" s="46">
        <v>593085.18</v>
      </c>
      <c r="G199" s="46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</row>
    <row r="200" spans="1:23" ht="15">
      <c r="A200" s="75" t="s">
        <v>258</v>
      </c>
      <c r="B200" s="76">
        <v>42914</v>
      </c>
      <c r="C200" s="77" t="s">
        <v>586</v>
      </c>
      <c r="D200" s="48" t="s">
        <v>294</v>
      </c>
      <c r="E200" s="80" t="s">
        <v>285</v>
      </c>
      <c r="F200" s="46">
        <v>61500</v>
      </c>
      <c r="G200" s="46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</row>
    <row r="201" spans="1:23" ht="15">
      <c r="A201" s="75"/>
      <c r="B201" s="74"/>
      <c r="C201" s="48"/>
      <c r="D201" s="48"/>
      <c r="E201" s="80"/>
      <c r="F201" s="46"/>
      <c r="G201" s="46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</row>
    <row r="202" spans="1:23" ht="15">
      <c r="A202" s="75"/>
      <c r="B202" s="74"/>
      <c r="C202" s="48"/>
      <c r="D202" s="48"/>
      <c r="E202" s="80"/>
      <c r="F202" s="46"/>
      <c r="G202" s="46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</row>
    <row r="203" spans="1:23" ht="15">
      <c r="A203" s="75"/>
      <c r="B203" s="74"/>
      <c r="C203" s="48"/>
      <c r="D203" s="48"/>
      <c r="E203" s="80"/>
      <c r="F203" s="46"/>
      <c r="G203" s="46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</row>
    <row r="204" spans="1:6" ht="15">
      <c r="A204" s="75"/>
      <c r="B204" s="76"/>
      <c r="C204" s="77"/>
      <c r="D204" s="81"/>
      <c r="E204" s="81"/>
      <c r="F204" s="82"/>
    </row>
    <row r="205" spans="1:6" ht="15">
      <c r="A205" s="75"/>
      <c r="B205" s="76"/>
      <c r="C205" s="77"/>
      <c r="D205" s="81"/>
      <c r="E205" s="81"/>
      <c r="F205" s="82"/>
    </row>
    <row r="206" spans="1:6" ht="15">
      <c r="A206" s="75"/>
      <c r="B206" s="76"/>
      <c r="C206" s="77"/>
      <c r="D206" s="81"/>
      <c r="E206" s="81"/>
      <c r="F206" s="82"/>
    </row>
    <row r="207" spans="1:6" ht="15">
      <c r="A207" s="75"/>
      <c r="B207" s="76"/>
      <c r="C207" s="77"/>
      <c r="D207" s="81"/>
      <c r="E207" s="81"/>
      <c r="F207" s="82"/>
    </row>
    <row r="208" spans="1:6" ht="15">
      <c r="A208" s="75"/>
      <c r="B208" s="76"/>
      <c r="C208" s="77"/>
      <c r="D208" s="81"/>
      <c r="E208" s="81"/>
      <c r="F208" s="82"/>
    </row>
    <row r="209" spans="1:6" ht="15">
      <c r="A209" s="75"/>
      <c r="B209" s="76"/>
      <c r="C209" s="77"/>
      <c r="D209" s="81"/>
      <c r="E209" s="81"/>
      <c r="F209" s="82"/>
    </row>
    <row r="210" spans="1:6" ht="15">
      <c r="A210" s="75"/>
      <c r="B210" s="76"/>
      <c r="C210" s="77"/>
      <c r="D210" s="81"/>
      <c r="E210" s="81"/>
      <c r="F210" s="82"/>
    </row>
    <row r="211" spans="1:6" ht="15">
      <c r="A211" s="75"/>
      <c r="B211" s="76"/>
      <c r="C211" s="77"/>
      <c r="D211" s="81"/>
      <c r="E211" s="81"/>
      <c r="F211" s="82"/>
    </row>
    <row r="212" spans="1:6" ht="15">
      <c r="A212" s="75"/>
      <c r="B212" s="76"/>
      <c r="C212" s="77"/>
      <c r="D212" s="81"/>
      <c r="E212" s="81"/>
      <c r="F212" s="82"/>
    </row>
    <row r="213" spans="1:6" ht="15">
      <c r="A213" s="75"/>
      <c r="B213" s="76"/>
      <c r="C213" s="77"/>
      <c r="D213" s="81"/>
      <c r="E213" s="81"/>
      <c r="F213" s="82"/>
    </row>
    <row r="214" spans="1:6" ht="15">
      <c r="A214" s="75"/>
      <c r="B214" s="76"/>
      <c r="C214" s="77"/>
      <c r="D214" s="81"/>
      <c r="E214" s="81"/>
      <c r="F214" s="82"/>
    </row>
    <row r="215" spans="1:6" ht="15">
      <c r="A215" s="75"/>
      <c r="B215" s="76"/>
      <c r="C215" s="77"/>
      <c r="D215" s="81"/>
      <c r="E215" s="81"/>
      <c r="F215" s="82"/>
    </row>
    <row r="216" spans="1:6" ht="15">
      <c r="A216" s="75"/>
      <c r="B216" s="76"/>
      <c r="C216" s="77"/>
      <c r="D216" s="81"/>
      <c r="E216" s="81"/>
      <c r="F216" s="82"/>
    </row>
    <row r="217" spans="1:6" ht="15">
      <c r="A217" s="75"/>
      <c r="B217" s="76"/>
      <c r="C217" s="77"/>
      <c r="D217" s="81"/>
      <c r="E217" s="81"/>
      <c r="F217" s="82"/>
    </row>
    <row r="218" spans="1:6" ht="15">
      <c r="A218" s="75"/>
      <c r="B218" s="76"/>
      <c r="C218" s="77"/>
      <c r="D218" s="81"/>
      <c r="E218" s="81"/>
      <c r="F218" s="82"/>
    </row>
    <row r="219" spans="1:6" ht="15">
      <c r="A219" s="75"/>
      <c r="B219" s="76"/>
      <c r="C219" s="77"/>
      <c r="D219" s="81"/>
      <c r="E219" s="81"/>
      <c r="F219" s="82"/>
    </row>
    <row r="220" spans="1:6" ht="15">
      <c r="A220" s="75"/>
      <c r="B220" s="76"/>
      <c r="C220" s="77"/>
      <c r="D220" s="81"/>
      <c r="E220" s="81"/>
      <c r="F220" s="82"/>
    </row>
    <row r="221" spans="1:6" ht="15">
      <c r="A221" s="75"/>
      <c r="B221" s="76"/>
      <c r="C221" s="77"/>
      <c r="D221" s="81"/>
      <c r="E221" s="81"/>
      <c r="F221" s="82"/>
    </row>
    <row r="222" spans="1:6" ht="15">
      <c r="A222" s="75"/>
      <c r="B222" s="76"/>
      <c r="C222" s="77"/>
      <c r="D222" s="81"/>
      <c r="E222" s="81"/>
      <c r="F222" s="82"/>
    </row>
    <row r="223" spans="1:6" ht="15">
      <c r="A223" s="75"/>
      <c r="B223" s="76"/>
      <c r="C223" s="77"/>
      <c r="D223" s="81"/>
      <c r="E223" s="81"/>
      <c r="F223" s="82"/>
    </row>
    <row r="224" spans="1:6" ht="15">
      <c r="A224" s="75"/>
      <c r="B224" s="76"/>
      <c r="C224" s="77"/>
      <c r="D224" s="81"/>
      <c r="E224" s="81"/>
      <c r="F224" s="82"/>
    </row>
    <row r="225" spans="1:6" ht="15">
      <c r="A225" s="75"/>
      <c r="B225" s="76"/>
      <c r="C225" s="77"/>
      <c r="D225" s="81"/>
      <c r="E225" s="81"/>
      <c r="F225" s="82"/>
    </row>
    <row r="226" spans="1:6" ht="15">
      <c r="A226" s="75"/>
      <c r="B226" s="76"/>
      <c r="C226" s="77"/>
      <c r="D226" s="81"/>
      <c r="E226" s="81"/>
      <c r="F226" s="82"/>
    </row>
    <row r="227" spans="1:6" ht="15">
      <c r="A227" s="75"/>
      <c r="B227" s="76"/>
      <c r="C227" s="77"/>
      <c r="D227" s="81"/>
      <c r="E227" s="81"/>
      <c r="F227" s="8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</dc:creator>
  <cp:keywords/>
  <dc:description/>
  <cp:lastModifiedBy>Francisco</cp:lastModifiedBy>
  <cp:lastPrinted>2013-07-30T21:51:56Z</cp:lastPrinted>
  <dcterms:created xsi:type="dcterms:W3CDTF">2013-03-07T15:00:21Z</dcterms:created>
  <dcterms:modified xsi:type="dcterms:W3CDTF">2017-07-10T13:53:47Z</dcterms:modified>
  <cp:category/>
  <cp:version/>
  <cp:contentType/>
  <cp:contentStatus/>
</cp:coreProperties>
</file>