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35" windowWidth="15195" windowHeight="3270" activeTab="0"/>
  </bookViews>
  <sheets>
    <sheet name="EJECUCION PRESUP. JULIO 2017" sheetId="1" r:id="rId1"/>
    <sheet name="DETALLE DE EJECUCION POR MES" sheetId="2" r:id="rId2"/>
    <sheet name="GASTOS MES DE JULIO 2017" sheetId="3" r:id="rId3"/>
  </sheets>
  <definedNames>
    <definedName name="_xlnm.Print_Titles" localSheetId="0">'EJECUCION PRESUP. JULIO 2017'!$4:$4</definedName>
  </definedNames>
  <calcPr fullCalcOnLoad="1"/>
</workbook>
</file>

<file path=xl/sharedStrings.xml><?xml version="1.0" encoding="utf-8"?>
<sst xmlns="http://schemas.openxmlformats.org/spreadsheetml/2006/main" count="850" uniqueCount="512">
  <si>
    <t>ICC INGENIERIA CONSULTORIA Y CONSTRUCCION SRL</t>
  </si>
  <si>
    <t>SERVICIO DE MONITOREO ELECTRONICO ALFA SOCIEDAD AN</t>
  </si>
  <si>
    <t>DECORACIONES INTEGRALES DEKOR SOCIEDAD ANONIMA</t>
  </si>
  <si>
    <t>AL 31 DE JULIO DEL 2017</t>
  </si>
  <si>
    <t>TOTAL INGRESOS RECIBIDOS AL 31 DE JULIO DEL 2017</t>
  </si>
  <si>
    <t>Informe de Gastos mes de JULIO,2017</t>
  </si>
  <si>
    <t>TRANSF. BANCO 36000620</t>
  </si>
  <si>
    <t>COMISIÓN EXCESO DE CHEQUES GIRADOS</t>
  </si>
  <si>
    <t>TRANSF. BANCO 23355436</t>
  </si>
  <si>
    <t xml:space="preserve">Carlos Valerio Monge </t>
  </si>
  <si>
    <t>PAGO TRANSPORTE AL EXTERIOR, AEROPÙERTO-HOTEL-AEROPUERTO, LIQUIDACION GVE-008-17, ACUERDO 2079 DEL 19-06-2017</t>
  </si>
  <si>
    <t>TRANSF. BANCO 6062</t>
  </si>
  <si>
    <t>REITEGRO FONDO DE CAJA CHICA PROVEEDURÍA NÚMERO 1193</t>
  </si>
  <si>
    <t>TRANSF. BANCO 6063</t>
  </si>
  <si>
    <t>REITEGRO FONDO DE CAJA CHICA PROVEEDURÍA NÚMERO 1194</t>
  </si>
  <si>
    <t>TRANSF. BANCO 6064</t>
  </si>
  <si>
    <t>JUANITA LEE CERDAS</t>
  </si>
  <si>
    <t>REITEGRO FONDO DE CAJA CHICA TESORERÍA NÚMERO 1196</t>
  </si>
  <si>
    <t>TRANSF. BANCO 6065</t>
  </si>
  <si>
    <t>REITEGRO FONDO DE CAJA CHICA PROVEEDURÍA NÚMERO 1197</t>
  </si>
  <si>
    <t>TRANSF. BANCO 23986119</t>
  </si>
  <si>
    <t xml:space="preserve">Rafael Pérez Díaz </t>
  </si>
  <si>
    <t>ADELANTO GIRA A SAN CARLOS, REALIZAR TRABAJOS MANTENIMIENTO DE EDIFICIOS EN LA SEDE REGIONAL</t>
  </si>
  <si>
    <t>TRANSF. BANCO 24088918</t>
  </si>
  <si>
    <t xml:space="preserve">Ivannia Monge Naranjo </t>
  </si>
  <si>
    <t>ADELANTO GIRA A PUNTARENAS Y LIBERIA, IMPARTIR TALLERES DIVERSIDAD SEXUAL Y HOSTIGAMIENTO SEXUAL</t>
  </si>
  <si>
    <t>TRANSF. BANCO 1425384</t>
  </si>
  <si>
    <t>TRANSF. BANCO 6068</t>
  </si>
  <si>
    <t>VEHICULOS INTERNACIONALES VEINSA S. A.</t>
  </si>
  <si>
    <t>SERVICIO MANTENIMIENTO PREVENTIVO, CAMBIO DE ACEITE, FILTRO Y ESCOBILLA VEHICULO DH-40, FACTURA 1636514</t>
  </si>
  <si>
    <t>TRANSF. BANCO 6066</t>
  </si>
  <si>
    <t>REITEGRO FONDO DE CAJA CHICA PROVEEDURÍA NÚMERO 1198</t>
  </si>
  <si>
    <t>TRANSF. BANCO 6067</t>
  </si>
  <si>
    <t>REITEGRO FONDO DE CAJA CHICA PROVEEDURÍA NÚMERO 1199</t>
  </si>
  <si>
    <t>TRANSF. BANCO 24257536</t>
  </si>
  <si>
    <t xml:space="preserve">Rebeca Gallardo Barquero </t>
  </si>
  <si>
    <t>ADELANTO GIRA A PUERTO VIEJO SARAPIQUI TALLERES ESCUELAS LIBRES DE DISCRIMINACION EN SARAPIQUI</t>
  </si>
  <si>
    <t>TRANSF. BANCO 24257900</t>
  </si>
  <si>
    <t>TRANSF. BANCO 24558252</t>
  </si>
  <si>
    <t>ADELANTO GIRA A PUERTO VIEJO SARAPIQUI TRASLADO A HANNIA SILESKY Y REBECA GALLARDO</t>
  </si>
  <si>
    <t>TRANSF. BANCO 24654986</t>
  </si>
  <si>
    <t>Transf. SRHN-1195-17 C.Ch.-SCarlos(1372)</t>
  </si>
  <si>
    <t>TRANSF. BANCO 24655480</t>
  </si>
  <si>
    <t>YANCY MORA G</t>
  </si>
  <si>
    <t>Transf.SRSS-1192-17 CChica-C.Neily(1373)</t>
  </si>
  <si>
    <t>TRANSF. BANCO 6069</t>
  </si>
  <si>
    <t>AMPLAICION DEL FONDO DE CAJA CHICA</t>
  </si>
  <si>
    <t>TRANSF. BANCO 248063591</t>
  </si>
  <si>
    <t>PAGO DE GIRAS REALIZADAS A LIMÓN TRASLADO DE LA SRA, PEGY MARIN ROJAS GV-375 Y A PUNTARENAS LIBERIA TRASLADO DE IVANNIA MONGE, LIQ. GV-376</t>
  </si>
  <si>
    <t>TRANSF. BANCO 24891302</t>
  </si>
  <si>
    <t>Jerhyn Varela Vargas</t>
  </si>
  <si>
    <t>ADELANTO GIRA A SAN JOSE CAPACITACIÓN CONTROL PRINCIPIO DE INCENDIOS ACADEMIA NACIONAL DE BOMBEROS</t>
  </si>
  <si>
    <t>TRANSF. BANCO 24891636</t>
  </si>
  <si>
    <t>ADELANTO GIRA A BUENOS AIRES DE PUNTARENAS Y CIUDAD NEILLY, TRASLADO A MARJORIE HERRERA CASTRO</t>
  </si>
  <si>
    <t>TRANSF. BANCO 25162831</t>
  </si>
  <si>
    <t xml:space="preserve">LuisGmo.Quesada García </t>
  </si>
  <si>
    <t>ADELANTO GIRA A CORREDORES TRASLADO A JOSE PABLO RODRIGUEZ Y AHMED TABASH</t>
  </si>
  <si>
    <t>TRANSF. BANCO 25163045</t>
  </si>
  <si>
    <t xml:space="preserve">José Ml. Vásquez Hernández </t>
  </si>
  <si>
    <t>ADELANTO GIRA A CORREDORES TRASLADO DEFENSORA DE LOS HABITANTES MONTSERRAT SOLANO CARBONI</t>
  </si>
  <si>
    <t>TRANSF. BANCO 25163325</t>
  </si>
  <si>
    <t>Ahmed Tabash Blanco -</t>
  </si>
  <si>
    <t>REUNION INTERINSTITUCIONAL ALTO COMTE PUNTA BURICA Y REUNION ALTO CORONA</t>
  </si>
  <si>
    <t>TRANSF. BANCO 25163512</t>
  </si>
  <si>
    <t xml:space="preserve">José P. Rodríguez Alpízar </t>
  </si>
  <si>
    <t>TRANSF. BANCO 6070</t>
  </si>
  <si>
    <t>REITEGRO FONDO DE CAJA CHICA PROVEEDURÍA NÚMERO 1202</t>
  </si>
  <si>
    <t>TRANSF. BANCO 6071</t>
  </si>
  <si>
    <t>REITEGRO FONDO DE CAJA CHICA PROVEEDURÍA NÚMERO 1203</t>
  </si>
  <si>
    <t>TRANSF. BANCO 25327348</t>
  </si>
  <si>
    <t xml:space="preserve">NAZARET CORREA </t>
  </si>
  <si>
    <t>Transf.SRPC-1201-17 C.Chica-Ptnas.(1383)</t>
  </si>
  <si>
    <t>TRANSF. BANCO 25326560</t>
  </si>
  <si>
    <t xml:space="preserve">Marjorie Herrera Castro </t>
  </si>
  <si>
    <t>PAGO DE GIRA REALIZADA A CORREDORES, REUNIÓN NGABE SOBRE MECANISMO DE CONSULTA</t>
  </si>
  <si>
    <t>TRANSF. BANCO 25327047</t>
  </si>
  <si>
    <t>VICTOR ROJAS G</t>
  </si>
  <si>
    <t>Transf. SRA-1191-17 C.Chica-Limón(1382)</t>
  </si>
  <si>
    <t>TRANSF. BANCO 6072</t>
  </si>
  <si>
    <t>REITEGRO FONDO DE CAJA CHICA TESORERÍA NÚMERO 1204</t>
  </si>
  <si>
    <t>SPMPO-071-2017 CTA #TRANF.CTES</t>
  </si>
  <si>
    <t>Defensoría Habitantes, SPMPO N°071, MERLINK Serv.Reemplazo Ventanas Vidrio e Instalación de películas  Contrato045003/SP.200126  Reg.103-808-10801</t>
  </si>
  <si>
    <t>Defensoría Habitantes, SPMPO N°071, MERLINK Mant.Prev.Veh.DH-34  Contrato043041/SP.200109  Reg.103-808-10805</t>
  </si>
  <si>
    <t>Defensoría Habitantes, SPMPO N°071, MERLINK Mant.Prev.Veh.DH-22  Contrato043046/SP.200121  Reg.103-808-10805</t>
  </si>
  <si>
    <t>REPARACION DE MUEBLES DE OFICINA S A</t>
  </si>
  <si>
    <t>Defensoría Habitantes, SPMPO N°071, MERLINK Reparación Sillas:Tapizado, Cambio Cilindro de Gas,etc.  Contrato046005/SP.200111   Reg.103-808-10807</t>
  </si>
  <si>
    <t>REPRESENTACIONES SUMI COMP EQUIPOS S A</t>
  </si>
  <si>
    <t>Defensoría Habitantes, SPMPO N°071, MERLINK 60-AmpoT-830 Carta, 50-Cj Etiqueta Verde p/Expediente, 3-Cj.80unid.Folder Carta Azul, etc.  Contrato043055/SP.200096   Reg.103-808-29903 ($193.87 x ¢577.41)</t>
  </si>
  <si>
    <t>Defensoría Habitantes, SPMPO N°071, MERLINK 15-Cj.25unid.Carpeta Colgante Oficio y 100-Cj.100unid.Folder Carta Manila  Contrato043059/SP.200096   Reg.103-808-29903 ($429.50 x ¢577.39)</t>
  </si>
  <si>
    <t>SEGURIDAD Y VIGILANCIA SEVIN LIMITADA</t>
  </si>
  <si>
    <t>Defensoría Habitantes, SPMPO N°071, MERLINK Serv.Seguridad y Vigilancia Ofic.Ctl.DHR MAY-17  OP.17071/SP.200081   Reg.103-808-10406 ¢4,968,958.40 (2%Ret.¢99,379.16)</t>
  </si>
  <si>
    <t>Defensoría Habitantes, SPMPO N°071, Serv.Pub. La Gac.145 de 16/06 145/17  Fact.Gob.395-17  OP.17016/SP.200009  Reg.103-808-10301</t>
  </si>
  <si>
    <t>Defensoría Habitantes, SPMPO N°071, Compra Combustible Gasolina y Diesel: Vehículos y Planta Eléctrica  Fact.Gob.421-17  OP.17088/SP.200133  Reg.103-808-20101</t>
  </si>
  <si>
    <t>Defensoría Habitantes, SPMPO Nº071, Cont.Estatal Seg.de Pensiones MAY-17 Ley #17 22/10/1943 y Reglam.6898 07/02/1995 y sus reformas  Fact.Gob.426-17  Res.100006 ¢1,117,292.29 y Res.100090 ¢2,228,001.45  Reg.103-808-60103 IP-200</t>
  </si>
  <si>
    <t>Defensoría Habitantes, SPMPO Nº071, Cont.Estatal Seg.de Salud MAY-17 Ley #17 22/10/1943 y Reglam.6898 07/02/1995 y sus reformas  Fact.Gob.426-17  Res.100007  Reg.103-808-60103 IP-202</t>
  </si>
  <si>
    <t>SPMPO-072-2017 CTA #TRANF.CTES</t>
  </si>
  <si>
    <t>MINISTERIO DE HACIENDA</t>
  </si>
  <si>
    <t>Defensoría Habitantes, SPMPO Nº072, Pago Retención 2% Impto. s/Renta JUN-17 (Vence 18-Jul-217)</t>
  </si>
  <si>
    <t>SPMPO-073-2017 CTA #TRANF.CTES</t>
  </si>
  <si>
    <t>VEHICULOS INTERNACIONALES VEINSA SOCIEDAD ANONIMA</t>
  </si>
  <si>
    <t>Defensoría Habitantes, SPMPO N°073, Reparación Veh.DH-23  Contrato043040/SP.200110  Reg.103-808-10805 ¢1,950,441 (2%Ret.¢39,008.82)</t>
  </si>
  <si>
    <t>Defensoría Habitantes, SPMPO N°073, MERLINK Mant.Prev.Veh.DH-22  Contrato043009/SP.200024  Reg.103-808-10805</t>
  </si>
  <si>
    <t>Defensoría Habitantes, SPMPO N°073, MERLINK Mant.Prev.Veh.DH-23  Contrato043009/SP.200024  Reg.103-808-10805</t>
  </si>
  <si>
    <t>Defensoría Habitantes, SPMPO N°073, MERLINK Mant.Prev.Veh.DH-16  Contrato043009/SP.200024  Reg.103-808-10805</t>
  </si>
  <si>
    <t>CAISA INC DE COSTA RICA S. A.</t>
  </si>
  <si>
    <t>Defensoría Habitantes, SPMPO N°073, 650-Rollos Papel Higiénico Jumbo Roll Scott  Contrato043053/SP.200096   Reg.103-808-29903 ¢939,900 (2%Ret.¢18,798)</t>
  </si>
  <si>
    <t>COMPA#IA AMERICANA PAPEL PLASTICO AFINES CAPPA S A</t>
  </si>
  <si>
    <t>Defensoría Habitantes, SPMPO N°073, 650-Resma Papel Bond Carta 20lbs 75gr Almaplus  Contrato043054/SP.200096   Reg.103-808-29903 ¢897,592.80 (2%Ret.¢17,951.85) ($1,560x¢575.38)</t>
  </si>
  <si>
    <t>Defensoría Habitantes, SPMPO N°073, MERLINK Serv.Monitoreo Alarma y Resp.Armada Ofic.Reg. SanCarlos JUN-17  OP.17072/SP.200081  Reg.103-808-10406</t>
  </si>
  <si>
    <t>Defensoría Habitantes, SPMPO N°073, MERLINK Serv.Monitoreo Alarma y Resp.Armada Ofics.Regs. PZ, Ptnas, Limón y Liberia JUN-17  OP.17072/SP.200081  Reg.103-808-10406</t>
  </si>
  <si>
    <t>Defensoría Habitantes, SPMPO N°073, Pago 5% Aporte Patronal SALARIO ESCOLAR ENE-2017  Fact.Gob.243-17  Res.100009  Reg.103-808-00505</t>
  </si>
  <si>
    <t>MUNICIPALIDAD DEL CANTON CENTRAL DE SAN JOSE</t>
  </si>
  <si>
    <t>Defensoría Habitantes, SPMPO N°073, Serv.Urbanos II-Trim-2017  Fact.Gob.316-17  OP.17017/SP.200008 ¢42,774 y OP.17066/SP.200078 ¢303,921.70  Reg.103-808-10299</t>
  </si>
  <si>
    <t>Defensoría Habitantes, SPMPO N°073, Monitoreo y Resp. Armada Alarma Ofic.Reg.Cdad.Neilly JUN-17  Fact.Gob.394-17  OP.17069/SP.200081  Reg.103-808-10406</t>
  </si>
  <si>
    <t>Defensoría Habitantes, SPMPO N°073, Serv.Electricidad Ofic.Reg.Liberia JUN-17  Fact.Gob.422-17  OP.17059/SP.200075  Reg.103-808-10202 (Vence14/07/17 NISE 667461)</t>
  </si>
  <si>
    <t>FUNDACION DE LA UNIVERSIDAD DE COSTA RICA PARA LA</t>
  </si>
  <si>
    <t>Defensoría Habitantes, SPMPO N°073, Curso: Introducción a la Ingeniería Ferroviaria 26-29/06/2017 en UCR Asiste: José Fco. Madrigal Rodríguez  Fact.Gob.428-17  OP.17090/SP.200135   Reg.103-808-10701</t>
  </si>
  <si>
    <t>Defensoría Habitantes, SPMPO Nº073, Serv.Electricidad Ofic.Reg.P.Z. JUN-17  Fact.Gob.429-17   OP.17059/SP.200075  Reg.103-808-10202 (Vence 26/07/17  NISE 865745)</t>
  </si>
  <si>
    <t>Defensoría Habitantes, SPMPO N°073, VIÁTICOS Pago Gira Los Chiles 22/06/17  Res.100067  Reg.103-808-10502</t>
  </si>
  <si>
    <t>Defensoría Habitantes, SPMPO N°073, VIÁTICOS Pago Giras: Jicaral 22/06/17 y San José 30/06/17 ¢8,350 c/u  Res.100067  Reg.103-808-10502</t>
  </si>
  <si>
    <t>Defensoría Habitantes, SPMPO N°073, VIÁTICOS Pago Gira San José 30/06/17  Res.100056  Reg.103-808-10501</t>
  </si>
  <si>
    <t>SPMPO-074-2017 CTA #TRANF.CTES</t>
  </si>
  <si>
    <t>Defensoría Habitantes, SPMPO N°074, MERLINK 1-Persiana Arrollable p/Aulas Capacitación  Contrato042002/SP.200138  Reg.103-808-29904</t>
  </si>
  <si>
    <t>Defensoría Habitantes, SPMPO N°074, Cobro Serv.Uso de la Plataforma MERLINK MAY-17  Fact.Gob.435-17  OP.17067/SP.200080 ¢412,466.82 y OP.17102/SP.200147 ¢7,000.13  Reg.103-808-10306 ¢419,466.95 (2%Ret.¢8,389.35)</t>
  </si>
  <si>
    <t>Defensoría Habitantes, SPMPO N°074, Serv.AguaMedida, Recolecc.Basura JUN-17   Fact.Gob.430-17  OP.17065/SP.200077 ¢14,211.60 y OP.17105/SP.200148 ¢1,161.58   Reg.103-808-10299</t>
  </si>
  <si>
    <t>Defensoría Habitantes, SPMPO Nº074, Serv.Adm.Flotilla y Localizac.Satelital GPS, 12 Dispositivos Rastreo y Acceso Web JUN-17  Fact.Gob.427-17  OP.17049/SP.200062  Reg.103-808-10204 ¢172,656 (2%Ret.¢3,453.10)</t>
  </si>
  <si>
    <t>Defensoría Habitantes, SPMPO N°074, VIÁTICOS Pago Gira San Carlos y Liberia 04,05/07/17  Res.100067  Reg.103-808-10502</t>
  </si>
  <si>
    <t>PEGGY MARIN ROJAS</t>
  </si>
  <si>
    <t>SPMPO-075-2017 CTA #TRANF.CTES</t>
  </si>
  <si>
    <t>Defensoría Habitantes, SPMPO Nº075, Cont.Pat.Seg.Salud Enf.y Maternidad 9.25% Planilla Fija JUN-17  Fact.Gob.431-17  Res.100001  Reg.103-808-00401</t>
  </si>
  <si>
    <t>Defensoría Habitantes, SPMPO Nº075, Cont.Pat.Seg.Pensiones 5.08% Planilla Fija JUN-17  Fact.Gob.431-17  Res.100002  Reg.103-808-00501</t>
  </si>
  <si>
    <t>Defensoría Habitantes, SPMPO Nº075, Aporte Pat.Reg.Oblig.Pens.1.5% Planilla Fija JUN-17  Fact.Gob.432-17  Res.100004  Reg.103-808-00502</t>
  </si>
  <si>
    <t>Defensoría Habitantes, SPMPO Nº075, Aporte Pat.Fdo.Cap.Laboral 3% Planilla Fija JUN-17  Fact.Gob.433-17  Res.100005  Reg.103-808-00503</t>
  </si>
  <si>
    <t>Defensoría Habitantes, SPMPO Nº075, Aporte Pat.Banco Popular 0.50% Planilla Fija JUN-17  Fact.Gob.434-17  Res.100003  Reg.103-808-00405</t>
  </si>
  <si>
    <t>SPMPO-076-2017 CTA #TRANF.CTES</t>
  </si>
  <si>
    <t>Defensoría Habitantes, SPMPO N°076, MERLINK Serv.Hosp.Telefonía IP Hospedado en la Nube (Alq) JUN-17  OP.17083/SP.200123  Reg.103-808-10204 ¢500,000 (2%Ret.¢10,000)</t>
  </si>
  <si>
    <t>Defensoría Habitantes, SPMPO N°076, MERLINK Serv.Hosp.Telefonía IP Hospedado en la Nube (Tel) JUN-17  OP.17083/SP.200123  Reg.103-808-10204 ¢212,837.22 (2%Ret.¢4,256.74)</t>
  </si>
  <si>
    <t>YIRE MEDICA H P S A</t>
  </si>
  <si>
    <t>Defensoría Habitantes, SPMPO N°076, MERLINK Jeringas, Mascarilla, Gasa, Venda, etc.  Contrato043030/SP.200054  Reg.103-808-29902 ($385.64x¢575)</t>
  </si>
  <si>
    <t>Defensoría Habitantes, SPMPO N°076, Serv.Parqueo DH-29 de Sede Reg.Limón 15/05/17-15/06/17  Fact.Gob.436-17  OP.17057/SP.200073 ¢25,0000 y OP.17097/SP.200144 ¢25,0000  Reg.103-808-10101</t>
  </si>
  <si>
    <t>Defensoría Habitantes, SPMPO N°076, Alquiler Local Ofic.Reg.Cdad.Neilly 28/05/17-28/06/17  Fact.Gob.437-17  OP.17053/SP.200073 ¢399,476 y OP.17093/SP.200144 ¢233,662  Reg.103-808-10101 ¢633,138 (2%Ret.¢12,662.75)</t>
  </si>
  <si>
    <t>COMPAÑIA NACIONAL DE FUERZA Y LUZ S A</t>
  </si>
  <si>
    <t>Defensoría Habitantes, SPMPO Nº076, Serv.Electricidad Ofic.Ctl.DHR JUL-17  Fact.Gob.440-17  OP.17061/SP.200075  Reg.103-808-10202 ¢1,765,160 (2%Ret.¢35,303.20)  (Vence 21/07/17 NISE 497430)</t>
  </si>
  <si>
    <t>Defensoría Habitantes, SPMPO Nº076, Serv.Electricidad Ofic.Reg.Limón JUL-17  Fact.Gob.447-17  OP.17059/SP.200075  Reg.103-808-10202 (Vence 31/07/17  NISE 286343)</t>
  </si>
  <si>
    <t>Defensoría Habitantes, SPMPO Nº076, Serv.Electricidad Ofic.Reg.Cdad.Neilly JUL-17  Fact.Gob.448-17  OP.17059/SP.200075  Reg.103-808-10202 (Vence 31/07/17  NISE 773938)</t>
  </si>
  <si>
    <t>SPMPO-077-2017 CTA #TRANF.CTES</t>
  </si>
  <si>
    <t>Defensoría Habitantes, SPMPO Nº077, Reintegro Fdo.Trabajo-2017 DHR  Res.100065  Reg.103-808-10101</t>
  </si>
  <si>
    <t>Defensoría Habitantes, SPMPO Nº077, Reintegro Fdo.Trabajo-2017 DHR  Res.100079  Reg.103-808-10303</t>
  </si>
  <si>
    <t>Defensoría Habitantes, SPMPO Nº077, Reintegro Fdo.Trabajo-2017 DHR  Res.100091  Reg.103-808-10306</t>
  </si>
  <si>
    <t>Defensoría Habitantes, SPMPO Nº077, Reintegro Fdo.Trabajo-2017 DHR  Res.100080  Reg.103-808-10406</t>
  </si>
  <si>
    <t>Defensoría Habitantes, SPMPO Nº077, Reintegro Fdo.Trabajo-2017 DHR  Res.100042 ¢9,290 y Res.100092 ¢34,120  Reg.103-808-10499</t>
  </si>
  <si>
    <t>Defensoría Habitantes, SPMPO Nº077, Reintegro Fdo.Trabajo-2017 DHR  Res.100056  Reg.103-808-10501</t>
  </si>
  <si>
    <t>Defensoría Habitantes, SPMPO Nº077, Reintegro Fdo.Trabajo-2017 DHR  Res.100067  Reg.103-808-10502</t>
  </si>
  <si>
    <t>Defensoría Habitantes, SPMPO Nº077, Reintegro Fdo.Trabajo-2017 DHR  Res.100093  Reg.103-808-10503</t>
  </si>
  <si>
    <t>Defensoría Habitantes, SPMPO Nº077, Reintegro Fdo.Trabajo-2017 DHR  Res.100077  Reg.103-808-10701</t>
  </si>
  <si>
    <t>Defensoría Habitantes, SPMPO Nº077, Reintegro Fdo.Trabajo-2017 DHR  Res.100068  Reg.103-808-10805</t>
  </si>
  <si>
    <t>Defensoría Habitantes, SPMPO Nº077, Reintegro Fdo.Trabajo-2017 DHR  Res.100076 ¢69,172 y Res.100081 ¢358,828  Reg.103-808-20101</t>
  </si>
  <si>
    <t>Defensoría Habitantes, SPMPO Nº077, Reintegro Fdo.Trabajo-2017 DHR  Res.100082  Reg.103-808-20104</t>
  </si>
  <si>
    <t>Defensoría Habitantes, SPMPO Nº077, Reintegro Fdo.Trabajo-2017 DHR  Res.100062  Reg.103-808-20306</t>
  </si>
  <si>
    <t>Defensoría Habitantes, SPMPO Nº077, Reintegro Fdo.Trabajo-2017 DHR  Res.100071  Reg.103-808-20402</t>
  </si>
  <si>
    <t>Defensoría Habitantes, SPMPO Nº077, Reintegro Fdo.Trabajo-2017 DHR  Res.100053 ¢1,370 y Res.100094 ¢1,630  Reg.103-808-29901</t>
  </si>
  <si>
    <t>Defensoría Habitantes, SPMPO Nº077, Reintegro Fdo.Trabajo-2017 DHR  Res.100072  Reg.103-808-29904</t>
  </si>
  <si>
    <t>Defensoría Habitantes, SPMPO Nº077, Reintegro Fdo.Trabajo-2017 DHR  Res.100037  Reg.103-808-29905</t>
  </si>
  <si>
    <t>SPMPO-078-2017 CTA #TRANF.CTES</t>
  </si>
  <si>
    <t>INVERSIONES LA RUECA S A</t>
  </si>
  <si>
    <t>Defensoría Habitantes, SPMPO Nº078, MERLINK 4-Ventilador Vegga Mod.WF160, Activos 5859-5862  Contrato043032/SP.200085   Reg.103-808-50104</t>
  </si>
  <si>
    <t>Defensoría Habitantes, SPMPO N°078, MERLINK Serv.Seguridad y Vigilancia Ofic.Ctl.DHR JUN-17  OP.17071/SP.200081 ¢2,234,369.36 y OP.17109/SP.200151 ¢2,734,589.04  Reg.103-808-10406 ¢4,968,958.40 (2%Ret.¢99,379.16)</t>
  </si>
  <si>
    <t>PAPIRO S A</t>
  </si>
  <si>
    <t>Defensoría Habitantes, SPMPO N°078, MERLINK 6,000-Sobre Blanco Correspondencia Nº10 con Ventana Plástica Transparente  Contrato043052/SP.200096  Reg.103-808-29903</t>
  </si>
  <si>
    <t>Defensoría Habitantes, SPMPO N°078, Pago 5% Aporte Patronal JUN-2017  Fact.Gob.446-17  Res.100009  Reg.103-808-00505</t>
  </si>
  <si>
    <t>Defensoría Habitantes, SPMPO N°078, Alquiler Local Ofic.Reg.Liberia JUN-17  Fact.Gob.466-17   OP.17054/SP.200073  Reg.103-808-10101 ¢703,975 (2%Ret.¢14,079.50)</t>
  </si>
  <si>
    <t>Defensoría Habitantes, SPMPO N°078, Serv.Electricidad Ofic.Reg.San Carlos JUL-17  Fact.Gob.467-17  OP.17060/SP.200075  Reg.103-808-10202 (Vence 25/07/17)</t>
  </si>
  <si>
    <t>Defensoría Habitantes, SPMPO Nº078, Serv.Electricidad Ofic.Reg.Ptnas. JUL-17  Fact.Gob.468-17  OP.17059/SP.200075  Reg.103-808-10202 (Vence 31/07/17 NISE 777444)</t>
  </si>
  <si>
    <t>Defensoría Habitantes, SPMPO N°078, VIÁTICOS Pago Gira Limón 11,12/07/17  Res.100067  Reg.103-808-10502</t>
  </si>
  <si>
    <t>SPMPO-079-2017 CTA #TRANF.CTES</t>
  </si>
  <si>
    <t>SERVICIOS TECNICOS ESPECIALIZADOS S T E S A</t>
  </si>
  <si>
    <t>Defensoría Habitantes, SPMPO N°079, MERLINK 100-Carpeta Manila Folder Carta Rojo Ampo y 20-Cj Cartón con Tapa Multiarchivo Ampo  Contrato043058/SP.200096  Reg.103-808-29903 ($61.80 x ¢574.57)</t>
  </si>
  <si>
    <t>ELMEC S A</t>
  </si>
  <si>
    <t>Defensoría Habitantes, SPMPO N°079, MERLINK Serv.Mant.Prev.Transformador Trifásico Tipo Pedestal RYMEL 500KVAR  Contrato043037/SP.200102  Reg.103-808-10801 ¢520,000 (2%Ret.¢10,400)</t>
  </si>
  <si>
    <t>Defensoría Habitantes, SPMPO N°079, Serv.Telemáticos JUN-17  Fact.Gob.470-17  OP.17063/SP.200077  Reg.103-808-10204 ¢194,256.45 (2%Ret.¢3,885.15)</t>
  </si>
  <si>
    <t>Defensoría Habitantes, SPMPO Nº079, Serv.Correo Electrónico Certificado 13/06/17-12/07/17  Fact.Gob.469-17  OP.17068/SP.200080 ¢351,807.14 y OP.17107/SP.200150 ¢587,313.40  Reg.103-808-10307 ¢939,120.54 (2%Ret.¢18,782.42)</t>
  </si>
  <si>
    <t>Defensoría Habitantes, SPMPO N°079, Serv.Interpretación Lesco 14/07/17 Capacitación Charla Plan de Prejubilación  Fact.Gob.472-17  OP.17081/SP.200108  Reg.103-808-10499</t>
  </si>
  <si>
    <t>Defensoría Habitantes, SPMPO N°079, Serv.Tels JUN-17  Fact.Gob.474-17  OP.17089/SP.200134  Reg.103-808-10204 ¢2,810,596 (2%Ret.¢56,211.90)</t>
  </si>
  <si>
    <t>Defensoría Habitantes, SPMPO N°079, Serv.Tels JUN-17  Fact.Gob.475-17  OP.17089/SP.200134  Reg.103-808-10204 ¢321,405 (2%Ret.¢6,428.10)</t>
  </si>
  <si>
    <t>Defensoría Habitantes, SPMPO N°079, Serv.Tels JUN-17  Fact.Gob.476-17  OP.17089/SP.200134  Reg.103-808-10204 ¢193,185 (2%Ret.¢3,863.70)</t>
  </si>
  <si>
    <t>JUNTA ADMINISTRATIVA DE LA IMPRENTA NACIONAL</t>
  </si>
  <si>
    <t>SPMPO-070-2017 CTA #TRANF.CTES</t>
  </si>
  <si>
    <t>Defensoría Habitantes, SPMPO Nº070, Reintegro Fdo.Trabajo-2017 DHR  Res.100087 ¢21,264.66 y Res.100089 ¢40,235.34  Reg.103-808-29903</t>
  </si>
  <si>
    <t>MEI R L J LIBERIA SOCIEDAD ANONIMA</t>
  </si>
  <si>
    <t>CORPORACION MEXIN IMPERIO LIMITADA</t>
  </si>
  <si>
    <t>DECRETO H-006</t>
  </si>
  <si>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</si>
  <si>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</si>
  <si>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</si>
  <si>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</si>
  <si>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</si>
  <si>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</si>
  <si>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</si>
  <si>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</si>
  <si>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</si>
  <si>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</si>
  <si>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</si>
  <si>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</si>
  <si>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</si>
  <si>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</si>
  <si>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</si>
  <si>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</si>
  <si>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</si>
  <si>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</si>
  <si>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</si>
  <si>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</si>
  <si>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</si>
  <si>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</si>
  <si>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</si>
  <si>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</si>
  <si>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</si>
  <si>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</si>
  <si>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</si>
  <si>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</si>
  <si>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</si>
  <si>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</si>
  <si>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</si>
  <si>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</si>
  <si>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</si>
  <si>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</si>
  <si>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</si>
  <si>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</si>
  <si>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</si>
  <si>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</si>
  <si>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</si>
  <si>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</si>
  <si>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</si>
  <si>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</si>
  <si>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</si>
  <si>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</si>
  <si>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</si>
  <si>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</si>
  <si>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</si>
  <si>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</si>
  <si>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</si>
  <si>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</si>
  <si>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</si>
  <si>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</si>
  <si>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</si>
  <si>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</si>
  <si>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</si>
  <si>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</si>
  <si>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</si>
  <si>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</si>
  <si>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</si>
  <si>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</si>
  <si>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</si>
  <si>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</si>
  <si>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</si>
  <si>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</si>
  <si>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</si>
  <si>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</si>
  <si>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</si>
  <si>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</si>
  <si>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</si>
  <si>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</si>
  <si>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</si>
  <si>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</si>
  <si>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</si>
  <si>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</si>
  <si>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</si>
  <si>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</si>
  <si>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</si>
  <si>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</si>
  <si>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</si>
  <si>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</si>
  <si>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</si>
  <si>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</si>
  <si>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</si>
  <si>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</si>
  <si>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</si>
  <si>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</si>
  <si>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</si>
  <si>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</si>
  <si>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</si>
  <si>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</si>
  <si>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</si>
  <si>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</si>
  <si>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</si>
  <si>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</si>
  <si>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</si>
  <si>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</si>
  <si>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</si>
  <si>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</si>
  <si>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</si>
  <si>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</si>
  <si>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</si>
  <si>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</si>
  <si>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</si>
  <si>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</si>
  <si>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</si>
  <si>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</si>
  <si>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</si>
  <si>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</si>
  <si>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</si>
  <si>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</si>
  <si>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</si>
  <si>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</si>
  <si>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</si>
  <si>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</si>
  <si>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</si>
  <si>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</si>
  <si>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</si>
  <si>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</si>
  <si>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</si>
  <si>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</si>
  <si>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</si>
  <si>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</si>
  <si>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</si>
  <si>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</si>
  <si>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</si>
  <si>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</si>
  <si>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</si>
  <si>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</si>
  <si>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</si>
  <si>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</si>
  <si>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</si>
  <si>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</si>
  <si>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</si>
  <si>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</si>
  <si>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</si>
  <si>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</si>
  <si>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</si>
  <si>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</si>
  <si>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</si>
  <si>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</si>
  <si>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</si>
  <si>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</si>
  <si>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</si>
  <si>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</si>
  <si>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</si>
  <si>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</si>
  <si>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</si>
  <si>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</si>
  <si>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</si>
  <si>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</si>
  <si>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</si>
  <si>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</si>
  <si>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</si>
  <si>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</si>
  <si>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</si>
  <si>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</si>
  <si>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</si>
  <si>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</si>
  <si>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</si>
  <si>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</si>
  <si>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</si>
  <si>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</si>
  <si>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</si>
  <si>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</si>
  <si>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</si>
  <si>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</si>
  <si>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</si>
  <si>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</si>
  <si>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</si>
  <si>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</si>
  <si>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</si>
  <si>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</si>
  <si>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</si>
  <si>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</si>
  <si>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</si>
  <si>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</si>
  <si>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</si>
  <si>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</si>
  <si>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</si>
  <si>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</si>
  <si>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</si>
  <si>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</si>
  <si>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</si>
  <si>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</si>
  <si>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</si>
  <si>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</si>
  <si>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</si>
  <si>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</si>
  <si>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</si>
  <si>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</si>
  <si>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</si>
  <si>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</si>
  <si>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</si>
  <si>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</si>
  <si>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</si>
  <si>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</si>
  <si>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</si>
  <si>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</si>
  <si>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</si>
  <si>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</si>
  <si>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</si>
  <si>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</si>
  <si>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</si>
  <si>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</si>
  <si>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</si>
  <si>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</si>
  <si>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</si>
  <si>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</si>
  <si>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</si>
  <si>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</si>
  <si>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</si>
  <si>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</si>
  <si>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</si>
  <si>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</si>
  <si>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</si>
  <si>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</si>
  <si>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</si>
  <si>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</si>
  <si>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</si>
  <si>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</si>
  <si>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</si>
  <si>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</si>
  <si>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</si>
  <si>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</si>
  <si>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</si>
  <si>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</si>
  <si>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</si>
  <si>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</si>
  <si>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</si>
  <si>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</si>
  <si>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</si>
  <si>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</si>
  <si>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</si>
  <si>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</si>
  <si>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</si>
  <si>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</si>
  <si>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</si>
  <si>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</si>
  <si>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</si>
  <si>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</si>
  <si>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</si>
  <si>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</si>
  <si>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</si>
  <si>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</si>
  <si>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</si>
  <si>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</si>
  <si>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</si>
  <si>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</si>
  <si>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</si>
  <si>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</si>
  <si>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</si>
  <si>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</si>
  <si>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</si>
  <si>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</si>
  <si>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</si>
  <si>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</si>
  <si>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</si>
  <si>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</si>
  <si>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</si>
  <si>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</si>
  <si>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</si>
  <si>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</si>
  <si>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</si>
  <si>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</si>
  <si>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</si>
  <si>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</si>
  <si>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</si>
  <si>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</si>
  <si>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</si>
  <si>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</si>
  <si>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</si>
  <si>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</si>
  <si>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</si>
  <si>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</si>
  <si>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</si>
  <si>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</si>
  <si>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</si>
  <si>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</si>
  <si>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</si>
  <si>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</si>
  <si>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</si>
  <si>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</si>
  <si>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</si>
  <si>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TOTAL PRESUPUESTO ORDINARIO  2017</t>
  </si>
  <si>
    <t>CARGOS POR MES PROGRAMA 808 DEFENSORIA DE LOS HABITANTES-2017</t>
  </si>
  <si>
    <t>Servicios Médicos y de Laboratorio</t>
  </si>
  <si>
    <t>INSTALACIONES</t>
  </si>
  <si>
    <t>DECRETO H-003</t>
  </si>
  <si>
    <t>Servcios en Ciencias Económicas y Sociales</t>
  </si>
  <si>
    <t xml:space="preserve"> -     </t>
  </si>
  <si>
    <t>DECRETO H-005</t>
  </si>
  <si>
    <t>DEFENSORIA DE LOS HABITANTES</t>
  </si>
  <si>
    <t>Presupuesto Ordinario</t>
  </si>
  <si>
    <t>PRESUPUESTO ORDINARIO</t>
  </si>
  <si>
    <t xml:space="preserve">JUANITA LEE CERDAS </t>
  </si>
  <si>
    <t xml:space="preserve">Marvin Fernández Ramírez </t>
  </si>
  <si>
    <t>KAREN ROMÁN GUERRERO</t>
  </si>
  <si>
    <t>VIVIAN MEDINA JIMENEZ</t>
  </si>
  <si>
    <t>ASOCIACION SOLIDARISTA DE FUNCIONARIOS Y FUNCIONAR</t>
  </si>
  <si>
    <t>CAJA COSTARRICENSE DEL SEGURO SOCIAL</t>
  </si>
  <si>
    <t>SERVIREPUESTOS JEZRREL S. A.</t>
  </si>
  <si>
    <t>CALLMYWAY N Y SOCIEDAD ANONIMA</t>
  </si>
  <si>
    <t>GRUPO EMPRESARIAL OROSOL S. A.</t>
  </si>
  <si>
    <t>MUNICIPALIDAD DE SAN CARLOS</t>
  </si>
  <si>
    <t>COOPERATIVA DE ELECTRIFICACION RURAL DE SAN CARLOS</t>
  </si>
  <si>
    <t>INSTITUTO COSTARRICENSE DE ELECTRICIDAD</t>
  </si>
  <si>
    <t>ALINA MARIA PANIAGUA ROJAS</t>
  </si>
  <si>
    <t>ELIETH MARIA ARAYA AGUILAR</t>
  </si>
  <si>
    <t>LUIS GUILLERMO QUESADA GARCIA</t>
  </si>
  <si>
    <t xml:space="preserve">KAREN ROMÁN GUERRERO </t>
  </si>
  <si>
    <t>Marvin Fernández Ramírez</t>
  </si>
  <si>
    <t>RPOST S. A.</t>
  </si>
  <si>
    <t>NAVEGACION SATELITAL DE COSTA RICA S. A.</t>
  </si>
  <si>
    <t>RADIOGRAFICA COSTARRICENSE S A</t>
  </si>
  <si>
    <t>ERICK ALFARO ZU\IGA</t>
  </si>
  <si>
    <t>BANCO NACIONAL DE COSTA RICA</t>
  </si>
  <si>
    <t>Recarga Automática Tarjeta Quick Pass</t>
  </si>
  <si>
    <t xml:space="preserve">Hannia Silesky Jiménez </t>
  </si>
  <si>
    <t xml:space="preserve">Luis Gmo. Quesada García </t>
  </si>
  <si>
    <t>YURLANDY HIDALGO ARCE</t>
  </si>
  <si>
    <t>JUAN JOSE ARROYO SANCHEZ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</si>
</sst>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10" borderId="1" applyNumberFormat="0" applyAlignment="0" applyProtection="0"/>
    <xf numFmtId="0" fontId="3" fillId="19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10" borderId="1" applyNumberFormat="0" applyAlignment="0" applyProtection="0"/>
    <xf numFmtId="0" fontId="7" fillId="13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9" fontId="0" fillId="0" borderId="0" applyFont="0" applyFill="0" applyBorder="0" applyAlignment="0" applyProtection="0"/>
    <xf numFmtId="0" fontId="10" fillId="10" borderId="5" applyNumberFormat="0" applyAlignment="0" applyProtection="0"/>
    <xf numFmtId="0" fontId="10" fillId="19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43" fontId="0" fillId="0" borderId="0" xfId="0" applyNumberFormat="1" applyAlignment="1">
      <alignment/>
    </xf>
    <xf numFmtId="43" fontId="0" fillId="0" borderId="0" xfId="77" applyFont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19" borderId="0" xfId="0" applyFont="1" applyFill="1" applyAlignment="1">
      <alignment/>
    </xf>
    <xf numFmtId="0" fontId="21" fillId="0" borderId="0" xfId="0" applyFont="1" applyAlignment="1">
      <alignment/>
    </xf>
    <xf numFmtId="4" fontId="21" fillId="13" borderId="13" xfId="0" applyNumberFormat="1" applyFont="1" applyFill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/>
    </xf>
    <xf numFmtId="4" fontId="21" fillId="16" borderId="13" xfId="0" applyNumberFormat="1" applyFont="1" applyFill="1" applyBorder="1" applyAlignment="1">
      <alignment horizontal="center"/>
    </xf>
    <xf numFmtId="4" fontId="21" fillId="10" borderId="13" xfId="0" applyNumberFormat="1" applyFont="1" applyFill="1" applyBorder="1" applyAlignment="1">
      <alignment horizontal="center"/>
    </xf>
    <xf numFmtId="4" fontId="21" fillId="6" borderId="13" xfId="0" applyNumberFormat="1" applyFont="1" applyFill="1" applyBorder="1" applyAlignment="1">
      <alignment horizontal="center"/>
    </xf>
    <xf numFmtId="4" fontId="21" fillId="26" borderId="13" xfId="0" applyNumberFormat="1" applyFont="1" applyFill="1" applyBorder="1" applyAlignment="1">
      <alignment horizontal="center"/>
    </xf>
    <xf numFmtId="4" fontId="21" fillId="11" borderId="13" xfId="0" applyNumberFormat="1" applyFont="1" applyFill="1" applyBorder="1" applyAlignment="1">
      <alignment horizontal="center"/>
    </xf>
    <xf numFmtId="4" fontId="21" fillId="22" borderId="13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0" borderId="0" xfId="0" applyNumberFormat="1" applyFont="1" applyFill="1" applyAlignment="1">
      <alignment/>
    </xf>
    <xf numFmtId="0" fontId="24" fillId="20" borderId="0" xfId="0" applyFont="1" applyFill="1" applyAlignment="1" quotePrefix="1">
      <alignment horizontal="center"/>
    </xf>
    <xf numFmtId="0" fontId="24" fillId="20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20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6" fillId="10" borderId="13" xfId="0" applyNumberFormat="1" applyFont="1" applyFill="1" applyBorder="1" applyAlignment="1">
      <alignment/>
    </xf>
    <xf numFmtId="4" fontId="21" fillId="11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7" fillId="6" borderId="0" xfId="0" applyNumberFormat="1" applyFont="1" applyFill="1" applyAlignment="1">
      <alignment/>
    </xf>
    <xf numFmtId="0" fontId="28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9" fillId="0" borderId="0" xfId="0" applyNumberFormat="1" applyFont="1" applyAlignment="1">
      <alignment vertical="top"/>
    </xf>
    <xf numFmtId="43" fontId="19" fillId="0" borderId="0" xfId="77" applyFont="1" applyAlignment="1">
      <alignment/>
    </xf>
    <xf numFmtId="43" fontId="21" fillId="10" borderId="13" xfId="77" applyFont="1" applyFill="1" applyBorder="1" applyAlignment="1">
      <alignment horizontal="center"/>
    </xf>
    <xf numFmtId="43" fontId="21" fillId="0" borderId="0" xfId="77" applyFont="1" applyAlignment="1">
      <alignment/>
    </xf>
    <xf numFmtId="43" fontId="21" fillId="11" borderId="14" xfId="77" applyFont="1" applyFill="1" applyBorder="1" applyAlignment="1">
      <alignment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/>
    </xf>
    <xf numFmtId="0" fontId="34" fillId="0" borderId="0" xfId="0" applyFont="1" applyAlignment="1">
      <alignment horizontal="justify" vertical="justify"/>
    </xf>
    <xf numFmtId="43" fontId="35" fillId="0" borderId="0" xfId="77" applyFont="1" applyAlignment="1">
      <alignment/>
    </xf>
    <xf numFmtId="43" fontId="35" fillId="0" borderId="0" xfId="0" applyNumberFormat="1" applyFont="1" applyAlignment="1">
      <alignment/>
    </xf>
    <xf numFmtId="43" fontId="34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6" fillId="20" borderId="13" xfId="0" applyFont="1" applyFill="1" applyBorder="1" applyAlignment="1">
      <alignment horizontal="center" vertical="center"/>
    </xf>
    <xf numFmtId="0" fontId="36" fillId="20" borderId="13" xfId="0" applyFont="1" applyFill="1" applyBorder="1" applyAlignment="1">
      <alignment horizontal="center" vertical="justify"/>
    </xf>
    <xf numFmtId="0" fontId="36" fillId="0" borderId="0" xfId="0" applyFont="1" applyAlignment="1">
      <alignment horizontal="center" vertical="justify"/>
    </xf>
    <xf numFmtId="0" fontId="37" fillId="20" borderId="15" xfId="0" applyFont="1" applyFill="1" applyBorder="1" applyAlignment="1">
      <alignment horizontal="justify" vertical="center"/>
    </xf>
    <xf numFmtId="0" fontId="36" fillId="19" borderId="13" xfId="0" applyFont="1" applyFill="1" applyBorder="1" applyAlignment="1">
      <alignment horizontal="justify" vertical="justify"/>
    </xf>
    <xf numFmtId="0" fontId="38" fillId="0" borderId="13" xfId="0" applyFont="1" applyBorder="1" applyAlignment="1">
      <alignment horizontal="center"/>
    </xf>
    <xf numFmtId="43" fontId="38" fillId="0" borderId="13" xfId="77" applyFont="1" applyBorder="1" applyAlignment="1">
      <alignment horizontal="center"/>
    </xf>
    <xf numFmtId="43" fontId="38" fillId="0" borderId="0" xfId="77" applyFont="1" applyAlignment="1">
      <alignment/>
    </xf>
    <xf numFmtId="43" fontId="38" fillId="0" borderId="13" xfId="77" applyFont="1" applyBorder="1" applyAlignment="1">
      <alignment/>
    </xf>
    <xf numFmtId="43" fontId="38" fillId="0" borderId="0" xfId="0" applyNumberFormat="1" applyFont="1" applyAlignment="1">
      <alignment/>
    </xf>
    <xf numFmtId="0" fontId="37" fillId="20" borderId="16" xfId="0" applyFont="1" applyFill="1" applyBorder="1" applyAlignment="1">
      <alignment horizontal="justify" vertical="center"/>
    </xf>
    <xf numFmtId="0" fontId="37" fillId="20" borderId="17" xfId="0" applyFont="1" applyFill="1" applyBorder="1" applyAlignment="1">
      <alignment horizontal="justify" vertical="center"/>
    </xf>
    <xf numFmtId="0" fontId="36" fillId="12" borderId="13" xfId="0" applyFont="1" applyFill="1" applyBorder="1" applyAlignment="1">
      <alignment horizontal="justify" vertical="justify"/>
    </xf>
    <xf numFmtId="0" fontId="38" fillId="12" borderId="13" xfId="0" applyFont="1" applyFill="1" applyBorder="1" applyAlignment="1">
      <alignment horizontal="center"/>
    </xf>
    <xf numFmtId="43" fontId="38" fillId="12" borderId="13" xfId="77" applyFont="1" applyFill="1" applyBorder="1" applyAlignment="1">
      <alignment/>
    </xf>
    <xf numFmtId="43" fontId="36" fillId="0" borderId="0" xfId="0" applyNumberFormat="1" applyFont="1" applyAlignment="1">
      <alignment/>
    </xf>
    <xf numFmtId="0" fontId="37" fillId="20" borderId="15" xfId="0" applyFont="1" applyFill="1" applyBorder="1" applyAlignment="1">
      <alignment horizontal="center" vertical="center"/>
    </xf>
    <xf numFmtId="0" fontId="37" fillId="20" borderId="16" xfId="0" applyFont="1" applyFill="1" applyBorder="1" applyAlignment="1">
      <alignment horizontal="center" vertical="center"/>
    </xf>
    <xf numFmtId="0" fontId="37" fillId="20" borderId="17" xfId="0" applyFont="1" applyFill="1" applyBorder="1" applyAlignment="1">
      <alignment horizontal="center" vertical="center"/>
    </xf>
    <xf numFmtId="43" fontId="38" fillId="0" borderId="16" xfId="77" applyFont="1" applyFill="1" applyBorder="1" applyAlignment="1">
      <alignment/>
    </xf>
    <xf numFmtId="0" fontId="36" fillId="15" borderId="13" xfId="0" applyFont="1" applyFill="1" applyBorder="1" applyAlignment="1">
      <alignment horizontal="justify" vertical="justify"/>
    </xf>
    <xf numFmtId="0" fontId="38" fillId="15" borderId="13" xfId="0" applyFont="1" applyFill="1" applyBorder="1" applyAlignment="1">
      <alignment horizontal="center"/>
    </xf>
    <xf numFmtId="43" fontId="38" fillId="15" borderId="13" xfId="77" applyFont="1" applyFill="1" applyBorder="1" applyAlignment="1">
      <alignment/>
    </xf>
    <xf numFmtId="0" fontId="36" fillId="17" borderId="13" xfId="0" applyFont="1" applyFill="1" applyBorder="1" applyAlignment="1">
      <alignment horizontal="justify" vertical="justify"/>
    </xf>
    <xf numFmtId="0" fontId="38" fillId="17" borderId="13" xfId="0" applyFont="1" applyFill="1" applyBorder="1" applyAlignment="1">
      <alignment horizontal="center"/>
    </xf>
    <xf numFmtId="43" fontId="38" fillId="17" borderId="13" xfId="77" applyFont="1" applyFill="1" applyBorder="1" applyAlignment="1">
      <alignment/>
    </xf>
    <xf numFmtId="0" fontId="36" fillId="19" borderId="13" xfId="0" applyFont="1" applyFill="1" applyBorder="1" applyAlignment="1">
      <alignment horizontal="justify" vertical="center"/>
    </xf>
    <xf numFmtId="0" fontId="37" fillId="20" borderId="15" xfId="0" applyFont="1" applyFill="1" applyBorder="1" applyAlignment="1">
      <alignment horizontal="justify" vertical="justify"/>
    </xf>
    <xf numFmtId="0" fontId="37" fillId="20" borderId="16" xfId="0" applyFont="1" applyFill="1" applyBorder="1" applyAlignment="1">
      <alignment horizontal="justify" vertical="justify"/>
    </xf>
    <xf numFmtId="0" fontId="37" fillId="20" borderId="17" xfId="0" applyFont="1" applyFill="1" applyBorder="1" applyAlignment="1">
      <alignment horizontal="justify" vertical="justify"/>
    </xf>
    <xf numFmtId="0" fontId="36" fillId="16" borderId="13" xfId="0" applyFont="1" applyFill="1" applyBorder="1" applyAlignment="1">
      <alignment horizontal="justify" vertical="center"/>
    </xf>
    <xf numFmtId="0" fontId="38" fillId="16" borderId="13" xfId="0" applyFont="1" applyFill="1" applyBorder="1" applyAlignment="1">
      <alignment horizontal="center"/>
    </xf>
    <xf numFmtId="43" fontId="38" fillId="16" borderId="13" xfId="77" applyFont="1" applyFill="1" applyBorder="1" applyAlignment="1">
      <alignment/>
    </xf>
    <xf numFmtId="0" fontId="36" fillId="23" borderId="13" xfId="0" applyFont="1" applyFill="1" applyBorder="1" applyAlignment="1">
      <alignment horizontal="justify" vertical="justify"/>
    </xf>
    <xf numFmtId="0" fontId="38" fillId="23" borderId="13" xfId="0" applyFont="1" applyFill="1" applyBorder="1" applyAlignment="1">
      <alignment horizontal="center"/>
    </xf>
    <xf numFmtId="43" fontId="38" fillId="23" borderId="13" xfId="77" applyFont="1" applyFill="1" applyBorder="1" applyAlignment="1">
      <alignment/>
    </xf>
    <xf numFmtId="43" fontId="38" fillId="23" borderId="14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43" fontId="36" fillId="0" borderId="13" xfId="77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43" fontId="36" fillId="20" borderId="14" xfId="0" applyNumberFormat="1" applyFont="1" applyFill="1" applyBorder="1" applyAlignment="1">
      <alignment/>
    </xf>
    <xf numFmtId="43" fontId="36" fillId="20" borderId="1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2" xfId="79"/>
    <cellStyle name="Millares 3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5"/>
  <sheetViews>
    <sheetView tabSelected="1" view="pageBreakPreview" zoomScale="60" zoomScaleNormal="90" zoomScalePageLayoutView="0" workbookViewId="0" topLeftCell="D1">
      <selection activeCell="G43" sqref="G43"/>
    </sheetView>
  </sheetViews>
  <sheetFormatPr defaultColWidth="11.421875" defaultRowHeight="15"/>
  <cols>
    <col min="1" max="1" width="27.5742187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7" width="21.57421875" style="0" customWidth="1"/>
    <col min="8" max="8" width="29.140625" style="0" customWidth="1"/>
    <col min="9" max="9" width="28.421875" style="0" customWidth="1"/>
    <col min="10" max="11" width="31.140625" style="0" customWidth="1"/>
    <col min="12" max="12" width="16.57421875" style="0" hidden="1" customWidth="1"/>
    <col min="13" max="13" width="0.2890625" style="0" hidden="1" customWidth="1"/>
    <col min="14" max="14" width="0.13671875" style="0" hidden="1" customWidth="1"/>
    <col min="15" max="15" width="25.8515625" style="0" customWidth="1"/>
    <col min="16" max="16" width="15.421875" style="0" customWidth="1"/>
    <col min="17" max="17" width="25.00390625" style="0" customWidth="1"/>
    <col min="18" max="18" width="19.28125" style="0" bestFit="1" customWidth="1"/>
  </cols>
  <sheetData>
    <row r="1" spans="1:17" ht="15.75">
      <c r="A1" s="46" t="s">
        <v>191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47"/>
    </row>
    <row r="2" spans="1:17" ht="15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</row>
    <row r="3" spans="1:17" ht="15.75">
      <c r="A3" s="46" t="s">
        <v>192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7"/>
    </row>
    <row r="4" spans="1:17" s="2" customFormat="1" ht="54">
      <c r="A4" s="53" t="s">
        <v>193</v>
      </c>
      <c r="B4" s="53" t="s">
        <v>194</v>
      </c>
      <c r="C4" s="53" t="s">
        <v>195</v>
      </c>
      <c r="D4" s="53" t="s">
        <v>304</v>
      </c>
      <c r="E4" s="53" t="s">
        <v>478</v>
      </c>
      <c r="F4" s="53" t="s">
        <v>481</v>
      </c>
      <c r="G4" s="53" t="s">
        <v>190</v>
      </c>
      <c r="H4" s="54" t="s">
        <v>308</v>
      </c>
      <c r="I4" s="53" t="s">
        <v>196</v>
      </c>
      <c r="J4" s="53" t="s">
        <v>197</v>
      </c>
      <c r="K4" s="53" t="s">
        <v>198</v>
      </c>
      <c r="L4" s="53" t="s">
        <v>199</v>
      </c>
      <c r="M4" s="53" t="s">
        <v>200</v>
      </c>
      <c r="N4" s="53" t="s">
        <v>201</v>
      </c>
      <c r="O4" s="54" t="s">
        <v>202</v>
      </c>
      <c r="P4" s="55" t="s">
        <v>203</v>
      </c>
      <c r="Q4" s="48"/>
    </row>
    <row r="5" spans="1:17" ht="18.75">
      <c r="A5" s="56" t="s">
        <v>204</v>
      </c>
      <c r="B5" s="57" t="s">
        <v>205</v>
      </c>
      <c r="C5" s="58">
        <v>101</v>
      </c>
      <c r="D5" s="59">
        <v>1507677000</v>
      </c>
      <c r="E5" s="59">
        <v>4100000</v>
      </c>
      <c r="F5" s="59">
        <v>1500000</v>
      </c>
      <c r="G5" s="59">
        <v>1000000</v>
      </c>
      <c r="H5" s="59">
        <f>+D5+E5+F5+G5</f>
        <v>1514277000</v>
      </c>
      <c r="I5" s="59">
        <v>0</v>
      </c>
      <c r="J5" s="59">
        <v>721984713.37</v>
      </c>
      <c r="K5" s="59">
        <v>785692286.63</v>
      </c>
      <c r="L5" s="60">
        <v>447327911.34</v>
      </c>
      <c r="M5" s="61">
        <v>525641175.83</v>
      </c>
      <c r="N5" s="61">
        <v>892949824.17</v>
      </c>
      <c r="O5" s="61">
        <f>+H5-I5-J5-K5</f>
        <v>6600000</v>
      </c>
      <c r="P5" s="62">
        <f>+K5/H5*100</f>
        <v>51.885638270276836</v>
      </c>
      <c r="Q5" s="47"/>
    </row>
    <row r="6" spans="1:17" ht="18.75">
      <c r="A6" s="63"/>
      <c r="B6" s="57" t="s">
        <v>206</v>
      </c>
      <c r="C6" s="58">
        <v>105</v>
      </c>
      <c r="D6" s="59">
        <v>4000000</v>
      </c>
      <c r="E6" s="59"/>
      <c r="F6" s="59"/>
      <c r="G6" s="59"/>
      <c r="H6" s="59">
        <f aca="true" t="shared" si="0" ref="H6:H19">+D6+E6+F6+G6</f>
        <v>4000000</v>
      </c>
      <c r="I6" s="59">
        <v>0</v>
      </c>
      <c r="J6" s="59">
        <v>0</v>
      </c>
      <c r="K6" s="59">
        <v>0</v>
      </c>
      <c r="L6" s="60" t="s">
        <v>480</v>
      </c>
      <c r="M6" s="61">
        <v>154823.21</v>
      </c>
      <c r="N6" s="61">
        <v>14845176.79</v>
      </c>
      <c r="O6" s="61">
        <f aca="true" t="shared" si="1" ref="O6:O19">+H6-I6-J6-K6</f>
        <v>4000000</v>
      </c>
      <c r="P6" s="62">
        <f aca="true" t="shared" si="2" ref="P6:P19">+K6/H6*100</f>
        <v>0</v>
      </c>
      <c r="Q6" s="47"/>
    </row>
    <row r="7" spans="1:17" ht="18.75">
      <c r="A7" s="63"/>
      <c r="B7" s="57" t="s">
        <v>208</v>
      </c>
      <c r="C7" s="58">
        <v>201</v>
      </c>
      <c r="D7" s="59">
        <v>8000000</v>
      </c>
      <c r="E7" s="59"/>
      <c r="F7" s="59">
        <v>3000000</v>
      </c>
      <c r="G7" s="59">
        <v>4000000</v>
      </c>
      <c r="H7" s="59">
        <f t="shared" si="0"/>
        <v>15000000</v>
      </c>
      <c r="I7" s="59">
        <v>0</v>
      </c>
      <c r="J7" s="59">
        <v>3855087.37</v>
      </c>
      <c r="K7" s="59">
        <v>8144912.63</v>
      </c>
      <c r="L7" s="60">
        <v>3939631.01</v>
      </c>
      <c r="M7" s="61">
        <v>3174728.97</v>
      </c>
      <c r="N7" s="61">
        <v>6825271.03</v>
      </c>
      <c r="O7" s="61">
        <f t="shared" si="1"/>
        <v>2999999.999999999</v>
      </c>
      <c r="P7" s="62">
        <f t="shared" si="2"/>
        <v>54.299417533333326</v>
      </c>
      <c r="Q7" s="47"/>
    </row>
    <row r="8" spans="1:17" ht="18.75">
      <c r="A8" s="63"/>
      <c r="B8" s="57" t="s">
        <v>209</v>
      </c>
      <c r="C8" s="58">
        <v>202</v>
      </c>
      <c r="D8" s="59">
        <v>1000000</v>
      </c>
      <c r="E8" s="59"/>
      <c r="F8" s="59"/>
      <c r="G8" s="59"/>
      <c r="H8" s="59">
        <f t="shared" si="0"/>
        <v>1000000</v>
      </c>
      <c r="I8" s="59">
        <v>0</v>
      </c>
      <c r="J8" s="59">
        <v>0</v>
      </c>
      <c r="K8" s="59">
        <v>0</v>
      </c>
      <c r="L8" s="60" t="s">
        <v>480</v>
      </c>
      <c r="M8" s="61">
        <v>0</v>
      </c>
      <c r="N8" s="61">
        <v>0</v>
      </c>
      <c r="O8" s="61">
        <f t="shared" si="1"/>
        <v>1000000</v>
      </c>
      <c r="P8" s="62">
        <f t="shared" si="2"/>
        <v>0</v>
      </c>
      <c r="Q8" s="47"/>
    </row>
    <row r="9" spans="1:17" ht="18.75">
      <c r="A9" s="63"/>
      <c r="B9" s="57" t="s">
        <v>210</v>
      </c>
      <c r="C9" s="58">
        <v>301</v>
      </c>
      <c r="D9" s="59">
        <v>926924000</v>
      </c>
      <c r="E9" s="59"/>
      <c r="F9" s="59"/>
      <c r="G9" s="59">
        <v>-16000000</v>
      </c>
      <c r="H9" s="59">
        <f t="shared" si="0"/>
        <v>910924000</v>
      </c>
      <c r="I9" s="59">
        <v>0</v>
      </c>
      <c r="J9" s="59">
        <v>407958791.83</v>
      </c>
      <c r="K9" s="59">
        <v>502965208.17</v>
      </c>
      <c r="L9" s="60">
        <v>283723982.18</v>
      </c>
      <c r="M9" s="61">
        <v>358389541.8</v>
      </c>
      <c r="N9" s="61">
        <v>515216458.2</v>
      </c>
      <c r="O9" s="61">
        <f t="shared" si="1"/>
        <v>0</v>
      </c>
      <c r="P9" s="62">
        <f t="shared" si="2"/>
        <v>55.21483769996179</v>
      </c>
      <c r="Q9" s="47"/>
    </row>
    <row r="10" spans="1:18" ht="18.75">
      <c r="A10" s="63"/>
      <c r="B10" s="57" t="s">
        <v>211</v>
      </c>
      <c r="C10" s="58">
        <v>302</v>
      </c>
      <c r="D10" s="59">
        <v>829336000</v>
      </c>
      <c r="E10" s="59"/>
      <c r="F10" s="59">
        <v>-14500000</v>
      </c>
      <c r="G10" s="59">
        <v>-19000000</v>
      </c>
      <c r="H10" s="59">
        <f t="shared" si="0"/>
        <v>795836000</v>
      </c>
      <c r="I10" s="59">
        <v>0</v>
      </c>
      <c r="J10" s="59">
        <v>372827463.34</v>
      </c>
      <c r="K10" s="59">
        <v>423008536.66</v>
      </c>
      <c r="L10" s="60">
        <v>240254033.15</v>
      </c>
      <c r="M10" s="61">
        <v>290110408.32</v>
      </c>
      <c r="N10" s="61">
        <v>470425591.68</v>
      </c>
      <c r="O10" s="61">
        <f t="shared" si="1"/>
        <v>0</v>
      </c>
      <c r="P10" s="62">
        <f t="shared" si="2"/>
        <v>53.152727026673844</v>
      </c>
      <c r="Q10" s="47"/>
      <c r="R10" s="3" t="s">
        <v>207</v>
      </c>
    </row>
    <row r="11" spans="1:18" ht="18.75">
      <c r="A11" s="63"/>
      <c r="B11" s="57" t="s">
        <v>212</v>
      </c>
      <c r="C11" s="58">
        <v>303</v>
      </c>
      <c r="D11" s="59">
        <v>332100000</v>
      </c>
      <c r="E11" s="59"/>
      <c r="F11" s="59"/>
      <c r="G11" s="59"/>
      <c r="H11" s="59">
        <f t="shared" si="0"/>
        <v>332100000</v>
      </c>
      <c r="I11" s="59">
        <v>0</v>
      </c>
      <c r="J11" s="59">
        <v>0</v>
      </c>
      <c r="K11" s="59">
        <v>323331.03</v>
      </c>
      <c r="L11" s="60">
        <v>323331.03</v>
      </c>
      <c r="M11" s="61">
        <v>0</v>
      </c>
      <c r="N11" s="61">
        <v>0</v>
      </c>
      <c r="O11" s="61">
        <f t="shared" si="1"/>
        <v>331776668.97</v>
      </c>
      <c r="P11" s="62">
        <f t="shared" si="2"/>
        <v>0.09735953929539297</v>
      </c>
      <c r="Q11" s="47"/>
      <c r="R11" s="3" t="s">
        <v>207</v>
      </c>
    </row>
    <row r="12" spans="1:18" ht="18.75">
      <c r="A12" s="63"/>
      <c r="B12" s="57" t="s">
        <v>213</v>
      </c>
      <c r="C12" s="58">
        <v>304</v>
      </c>
      <c r="D12" s="59">
        <v>284400000</v>
      </c>
      <c r="E12" s="59">
        <v>-12376186.93</v>
      </c>
      <c r="F12" s="59"/>
      <c r="G12" s="59"/>
      <c r="H12" s="59">
        <f t="shared" si="0"/>
        <v>272023813.07</v>
      </c>
      <c r="I12" s="59">
        <v>0</v>
      </c>
      <c r="J12" s="59">
        <v>0</v>
      </c>
      <c r="K12" s="59">
        <v>272023813.07</v>
      </c>
      <c r="L12" s="60">
        <v>272023813.07</v>
      </c>
      <c r="M12" s="61">
        <v>0</v>
      </c>
      <c r="N12" s="61">
        <v>247830942</v>
      </c>
      <c r="O12" s="61">
        <f t="shared" si="1"/>
        <v>0</v>
      </c>
      <c r="P12" s="62">
        <f t="shared" si="2"/>
        <v>100</v>
      </c>
      <c r="Q12" s="47"/>
      <c r="R12" s="3" t="s">
        <v>207</v>
      </c>
    </row>
    <row r="13" spans="1:17" ht="18.75">
      <c r="A13" s="63"/>
      <c r="B13" s="57" t="s">
        <v>214</v>
      </c>
      <c r="C13" s="58">
        <v>399</v>
      </c>
      <c r="D13" s="59">
        <v>427103000</v>
      </c>
      <c r="E13" s="59"/>
      <c r="F13" s="59"/>
      <c r="G13" s="59"/>
      <c r="H13" s="59">
        <f t="shared" si="0"/>
        <v>427103000</v>
      </c>
      <c r="I13" s="59">
        <v>0</v>
      </c>
      <c r="J13" s="59">
        <v>211237106.1</v>
      </c>
      <c r="K13" s="59">
        <v>215865893.9</v>
      </c>
      <c r="L13" s="60">
        <v>122051409.7</v>
      </c>
      <c r="M13" s="61">
        <v>171121518.99</v>
      </c>
      <c r="N13" s="61">
        <v>230897481.01</v>
      </c>
      <c r="O13" s="61">
        <f t="shared" si="1"/>
        <v>0</v>
      </c>
      <c r="P13" s="62">
        <f t="shared" si="2"/>
        <v>50.541881911389055</v>
      </c>
      <c r="Q13" s="47"/>
    </row>
    <row r="14" spans="1:18" ht="18.75">
      <c r="A14" s="63"/>
      <c r="B14" s="57" t="s">
        <v>215</v>
      </c>
      <c r="C14" s="58">
        <v>401</v>
      </c>
      <c r="D14" s="59">
        <v>368931000</v>
      </c>
      <c r="E14" s="59"/>
      <c r="F14" s="59"/>
      <c r="G14" s="59"/>
      <c r="H14" s="59">
        <f t="shared" si="0"/>
        <v>368931000</v>
      </c>
      <c r="I14" s="59">
        <v>0</v>
      </c>
      <c r="J14" s="59">
        <v>165387724</v>
      </c>
      <c r="K14" s="59">
        <v>203543276</v>
      </c>
      <c r="L14" s="60">
        <v>126391998</v>
      </c>
      <c r="M14" s="61">
        <v>152512390</v>
      </c>
      <c r="N14" s="61">
        <v>194950610</v>
      </c>
      <c r="O14" s="61">
        <f t="shared" si="1"/>
        <v>0</v>
      </c>
      <c r="P14" s="62">
        <f t="shared" si="2"/>
        <v>55.17109595019123</v>
      </c>
      <c r="Q14" s="47"/>
      <c r="R14" s="3" t="s">
        <v>207</v>
      </c>
    </row>
    <row r="15" spans="1:18" ht="18.75">
      <c r="A15" s="63"/>
      <c r="B15" s="57" t="s">
        <v>216</v>
      </c>
      <c r="C15" s="58">
        <v>405</v>
      </c>
      <c r="D15" s="59">
        <v>19942000</v>
      </c>
      <c r="E15" s="59"/>
      <c r="F15" s="59"/>
      <c r="G15" s="59"/>
      <c r="H15" s="59">
        <f t="shared" si="0"/>
        <v>19942000</v>
      </c>
      <c r="I15" s="59">
        <v>0</v>
      </c>
      <c r="J15" s="59">
        <v>8939647</v>
      </c>
      <c r="K15" s="59">
        <v>11002353</v>
      </c>
      <c r="L15" s="60">
        <v>6832011</v>
      </c>
      <c r="M15" s="61">
        <v>8244096</v>
      </c>
      <c r="N15" s="61">
        <v>10537904</v>
      </c>
      <c r="O15" s="61">
        <f t="shared" si="1"/>
        <v>0</v>
      </c>
      <c r="P15" s="62">
        <f t="shared" si="2"/>
        <v>55.17176311302778</v>
      </c>
      <c r="Q15" s="47"/>
      <c r="R15" s="3" t="s">
        <v>207</v>
      </c>
    </row>
    <row r="16" spans="1:18" ht="18.75">
      <c r="A16" s="63"/>
      <c r="B16" s="57" t="s">
        <v>217</v>
      </c>
      <c r="C16" s="58">
        <v>501</v>
      </c>
      <c r="D16" s="59">
        <v>202613000</v>
      </c>
      <c r="E16" s="59"/>
      <c r="F16" s="59"/>
      <c r="G16" s="59"/>
      <c r="H16" s="59">
        <f t="shared" si="0"/>
        <v>202613000</v>
      </c>
      <c r="I16" s="59">
        <v>0</v>
      </c>
      <c r="J16" s="59">
        <v>91799201</v>
      </c>
      <c r="K16" s="59">
        <v>110813799</v>
      </c>
      <c r="L16" s="60">
        <v>68801371</v>
      </c>
      <c r="M16" s="61">
        <v>85189199</v>
      </c>
      <c r="N16" s="61">
        <v>105633801</v>
      </c>
      <c r="O16" s="61">
        <f t="shared" si="1"/>
        <v>0</v>
      </c>
      <c r="P16" s="62">
        <f t="shared" si="2"/>
        <v>54.69234402530934</v>
      </c>
      <c r="Q16" s="47"/>
      <c r="R16" s="3" t="s">
        <v>207</v>
      </c>
    </row>
    <row r="17" spans="1:18" ht="18.75">
      <c r="A17" s="63"/>
      <c r="B17" s="57" t="s">
        <v>218</v>
      </c>
      <c r="C17" s="58">
        <v>502</v>
      </c>
      <c r="D17" s="59">
        <v>59827000</v>
      </c>
      <c r="E17" s="59"/>
      <c r="F17" s="59"/>
      <c r="G17" s="59"/>
      <c r="H17" s="59">
        <f t="shared" si="0"/>
        <v>59827000</v>
      </c>
      <c r="I17" s="59">
        <v>0</v>
      </c>
      <c r="J17" s="59">
        <v>26819982</v>
      </c>
      <c r="K17" s="59">
        <v>33007018</v>
      </c>
      <c r="L17" s="60">
        <v>20496006</v>
      </c>
      <c r="M17" s="61">
        <v>24731024</v>
      </c>
      <c r="N17" s="61">
        <v>31613976</v>
      </c>
      <c r="O17" s="61">
        <f t="shared" si="1"/>
        <v>0</v>
      </c>
      <c r="P17" s="62">
        <f t="shared" si="2"/>
        <v>55.17077239373527</v>
      </c>
      <c r="Q17" s="47"/>
      <c r="R17" s="3" t="s">
        <v>207</v>
      </c>
    </row>
    <row r="18" spans="1:18" ht="18.75">
      <c r="A18" s="63"/>
      <c r="B18" s="57" t="s">
        <v>219</v>
      </c>
      <c r="C18" s="58">
        <v>503</v>
      </c>
      <c r="D18" s="59">
        <v>119653000</v>
      </c>
      <c r="E18" s="59"/>
      <c r="F18" s="59"/>
      <c r="G18" s="59"/>
      <c r="H18" s="59">
        <f t="shared" si="0"/>
        <v>119653000</v>
      </c>
      <c r="I18" s="59">
        <v>0</v>
      </c>
      <c r="J18" s="59">
        <v>53638982</v>
      </c>
      <c r="K18" s="59">
        <v>66014018</v>
      </c>
      <c r="L18" s="60">
        <v>40991992</v>
      </c>
      <c r="M18" s="61">
        <v>49462103</v>
      </c>
      <c r="N18" s="61">
        <v>63227897</v>
      </c>
      <c r="O18" s="61">
        <f t="shared" si="1"/>
        <v>0</v>
      </c>
      <c r="P18" s="62">
        <f t="shared" si="2"/>
        <v>55.17121843998897</v>
      </c>
      <c r="Q18" s="50" t="s">
        <v>207</v>
      </c>
      <c r="R18" s="3" t="s">
        <v>207</v>
      </c>
    </row>
    <row r="19" spans="1:18" ht="18.75">
      <c r="A19" s="64"/>
      <c r="B19" s="57" t="s">
        <v>220</v>
      </c>
      <c r="C19" s="58">
        <v>505</v>
      </c>
      <c r="D19" s="59">
        <v>125000000</v>
      </c>
      <c r="E19" s="59"/>
      <c r="F19" s="59"/>
      <c r="G19" s="59">
        <v>10000000</v>
      </c>
      <c r="H19" s="59">
        <f t="shared" si="0"/>
        <v>135000000</v>
      </c>
      <c r="I19" s="59">
        <v>0</v>
      </c>
      <c r="J19" s="59">
        <v>44126357.87</v>
      </c>
      <c r="K19" s="59">
        <v>80873642.13</v>
      </c>
      <c r="L19" s="60">
        <v>47608924.52</v>
      </c>
      <c r="M19" s="61">
        <v>39772271.26</v>
      </c>
      <c r="N19" s="61">
        <v>69527728.74</v>
      </c>
      <c r="O19" s="61">
        <f t="shared" si="1"/>
        <v>10000000</v>
      </c>
      <c r="P19" s="62">
        <f t="shared" si="2"/>
        <v>59.90640157777778</v>
      </c>
      <c r="Q19" s="50" t="s">
        <v>207</v>
      </c>
      <c r="R19" s="3" t="s">
        <v>207</v>
      </c>
    </row>
    <row r="20" spans="1:18" ht="18.75">
      <c r="A20" s="63"/>
      <c r="B20" s="65" t="s">
        <v>221</v>
      </c>
      <c r="C20" s="66"/>
      <c r="D20" s="67">
        <f aca="true" t="shared" si="3" ref="D20:O20">SUM(D5:D19)</f>
        <v>5216506000</v>
      </c>
      <c r="E20" s="67">
        <f t="shared" si="3"/>
        <v>-8276186.93</v>
      </c>
      <c r="F20" s="67">
        <f t="shared" si="3"/>
        <v>-10000000</v>
      </c>
      <c r="G20" s="67">
        <f t="shared" si="3"/>
        <v>-20000000</v>
      </c>
      <c r="H20" s="67">
        <f>SUM(H5:H19)</f>
        <v>5178229813.07</v>
      </c>
      <c r="I20" s="67">
        <f t="shared" si="3"/>
        <v>0</v>
      </c>
      <c r="J20" s="67">
        <f t="shared" si="3"/>
        <v>2108575055.8799996</v>
      </c>
      <c r="K20" s="67">
        <f t="shared" si="3"/>
        <v>2713278088.2200003</v>
      </c>
      <c r="L20" s="67">
        <f t="shared" si="3"/>
        <v>1680766414</v>
      </c>
      <c r="M20" s="67">
        <f t="shared" si="3"/>
        <v>1708503280.3799999</v>
      </c>
      <c r="N20" s="67">
        <f t="shared" si="3"/>
        <v>2854482661.62</v>
      </c>
      <c r="O20" s="67">
        <f t="shared" si="3"/>
        <v>356376668.97</v>
      </c>
      <c r="P20" s="68">
        <f>+K20/H20*100</f>
        <v>52.3977920286892</v>
      </c>
      <c r="Q20" s="47"/>
      <c r="R20" s="3" t="s">
        <v>207</v>
      </c>
    </row>
    <row r="21" spans="1:18" ht="18.75">
      <c r="A21" s="69" t="s">
        <v>222</v>
      </c>
      <c r="B21" s="57" t="s">
        <v>223</v>
      </c>
      <c r="C21" s="58">
        <v>10101</v>
      </c>
      <c r="D21" s="59">
        <v>61500000</v>
      </c>
      <c r="E21" s="59">
        <v>-4600000</v>
      </c>
      <c r="F21" s="59">
        <v>-5400000</v>
      </c>
      <c r="G21" s="59">
        <v>-3900000</v>
      </c>
      <c r="H21" s="59">
        <f>+D21+E21+F21+G21</f>
        <v>47600000</v>
      </c>
      <c r="I21" s="59">
        <v>458246.25</v>
      </c>
      <c r="J21" s="59">
        <v>9428910.5</v>
      </c>
      <c r="K21" s="59">
        <v>17456089.5</v>
      </c>
      <c r="L21" s="60">
        <f aca="true" t="shared" si="4" ref="L21:L36">+H21-I21-J21-K21</f>
        <v>20256753.75</v>
      </c>
      <c r="M21" s="61">
        <v>14057000</v>
      </c>
      <c r="N21" s="61">
        <v>2441450</v>
      </c>
      <c r="O21" s="61">
        <f aca="true" t="shared" si="5" ref="O21:O58">+H21-I21-J21-K21</f>
        <v>20256753.75</v>
      </c>
      <c r="P21" s="62">
        <f>+K21/H21*100</f>
        <v>36.67245693277311</v>
      </c>
      <c r="Q21" s="47"/>
      <c r="R21" s="3" t="s">
        <v>207</v>
      </c>
    </row>
    <row r="22" spans="1:17" ht="18.75">
      <c r="A22" s="70"/>
      <c r="B22" s="57" t="s">
        <v>224</v>
      </c>
      <c r="C22" s="58">
        <v>10104</v>
      </c>
      <c r="D22" s="59">
        <v>0</v>
      </c>
      <c r="E22" s="59"/>
      <c r="F22" s="59"/>
      <c r="G22" s="59"/>
      <c r="H22" s="59">
        <f aca="true" t="shared" si="6" ref="H22:H58">+D22+E22+F22+G22</f>
        <v>0</v>
      </c>
      <c r="I22" s="59">
        <v>0</v>
      </c>
      <c r="J22" s="59">
        <v>0</v>
      </c>
      <c r="K22" s="59">
        <v>0</v>
      </c>
      <c r="L22" s="60">
        <f t="shared" si="4"/>
        <v>0</v>
      </c>
      <c r="M22" s="61">
        <v>1389000</v>
      </c>
      <c r="N22" s="61">
        <v>1389000</v>
      </c>
      <c r="O22" s="61">
        <f t="shared" si="5"/>
        <v>0</v>
      </c>
      <c r="P22" s="62">
        <v>0</v>
      </c>
      <c r="Q22" s="47"/>
    </row>
    <row r="23" spans="1:17" ht="18.75">
      <c r="A23" s="70"/>
      <c r="B23" s="57" t="s">
        <v>225</v>
      </c>
      <c r="C23" s="58">
        <v>10199</v>
      </c>
      <c r="D23" s="59">
        <v>100000</v>
      </c>
      <c r="E23" s="59"/>
      <c r="F23" s="59"/>
      <c r="G23" s="59"/>
      <c r="H23" s="59">
        <f t="shared" si="6"/>
        <v>100000</v>
      </c>
      <c r="I23" s="59">
        <v>0</v>
      </c>
      <c r="J23" s="59">
        <v>0</v>
      </c>
      <c r="K23" s="59">
        <v>0</v>
      </c>
      <c r="L23" s="60">
        <f t="shared" si="4"/>
        <v>100000</v>
      </c>
      <c r="M23" s="61">
        <v>1500000</v>
      </c>
      <c r="N23" s="61">
        <v>1042107.9</v>
      </c>
      <c r="O23" s="61">
        <f t="shared" si="5"/>
        <v>100000</v>
      </c>
      <c r="P23" s="62">
        <f aca="true" t="shared" si="7" ref="P23:P29">+K23/H23*100</f>
        <v>0</v>
      </c>
      <c r="Q23" s="47"/>
    </row>
    <row r="24" spans="1:17" ht="18.75">
      <c r="A24" s="70"/>
      <c r="B24" s="57" t="s">
        <v>226</v>
      </c>
      <c r="C24" s="58">
        <v>10201</v>
      </c>
      <c r="D24" s="59">
        <v>20500000</v>
      </c>
      <c r="E24" s="59"/>
      <c r="F24" s="59"/>
      <c r="G24" s="59"/>
      <c r="H24" s="59">
        <f t="shared" si="6"/>
        <v>20500000</v>
      </c>
      <c r="I24" s="59">
        <v>0</v>
      </c>
      <c r="J24" s="59">
        <v>3966075</v>
      </c>
      <c r="K24" s="59">
        <v>8597151</v>
      </c>
      <c r="L24" s="60">
        <f t="shared" si="4"/>
        <v>7936774</v>
      </c>
      <c r="M24" s="61">
        <v>8587000</v>
      </c>
      <c r="N24" s="61">
        <v>0</v>
      </c>
      <c r="O24" s="61">
        <f t="shared" si="5"/>
        <v>7936774</v>
      </c>
      <c r="P24" s="62">
        <f t="shared" si="7"/>
        <v>41.937321951219516</v>
      </c>
      <c r="Q24" s="47"/>
    </row>
    <row r="25" spans="1:17" ht="18.75">
      <c r="A25" s="70"/>
      <c r="B25" s="57" t="s">
        <v>227</v>
      </c>
      <c r="C25" s="58">
        <v>10202</v>
      </c>
      <c r="D25" s="59">
        <v>28500000</v>
      </c>
      <c r="E25" s="59"/>
      <c r="F25" s="59">
        <v>-3000000</v>
      </c>
      <c r="G25" s="59"/>
      <c r="H25" s="59">
        <f t="shared" si="6"/>
        <v>25500000</v>
      </c>
      <c r="I25" s="59">
        <v>0</v>
      </c>
      <c r="J25" s="59">
        <v>7294269.83</v>
      </c>
      <c r="K25" s="59">
        <v>13561410.17</v>
      </c>
      <c r="L25" s="60">
        <f t="shared" si="4"/>
        <v>4644320.000000002</v>
      </c>
      <c r="M25" s="61">
        <v>12507000</v>
      </c>
      <c r="N25" s="61">
        <v>0</v>
      </c>
      <c r="O25" s="61">
        <f t="shared" si="5"/>
        <v>4644320.000000002</v>
      </c>
      <c r="P25" s="62">
        <f t="shared" si="7"/>
        <v>53.18200066666666</v>
      </c>
      <c r="Q25" s="47"/>
    </row>
    <row r="26" spans="1:17" ht="18.75">
      <c r="A26" s="70"/>
      <c r="B26" s="57" t="s">
        <v>228</v>
      </c>
      <c r="C26" s="58">
        <v>10203</v>
      </c>
      <c r="D26" s="59">
        <v>9000000</v>
      </c>
      <c r="E26" s="59"/>
      <c r="F26" s="59"/>
      <c r="G26" s="59"/>
      <c r="H26" s="59">
        <f t="shared" si="6"/>
        <v>9000000</v>
      </c>
      <c r="I26" s="59">
        <v>0</v>
      </c>
      <c r="J26" s="59">
        <v>3679535</v>
      </c>
      <c r="K26" s="59">
        <v>3120465</v>
      </c>
      <c r="L26" s="60">
        <f t="shared" si="4"/>
        <v>2200000</v>
      </c>
      <c r="M26" s="61">
        <v>3820000</v>
      </c>
      <c r="N26" s="61">
        <v>570000</v>
      </c>
      <c r="O26" s="61">
        <f t="shared" si="5"/>
        <v>2200000</v>
      </c>
      <c r="P26" s="62">
        <f t="shared" si="7"/>
        <v>34.67183333333333</v>
      </c>
      <c r="Q26" s="47"/>
    </row>
    <row r="27" spans="1:17" ht="18.75">
      <c r="A27" s="70"/>
      <c r="B27" s="57" t="s">
        <v>229</v>
      </c>
      <c r="C27" s="58">
        <v>10204</v>
      </c>
      <c r="D27" s="59">
        <v>48250000</v>
      </c>
      <c r="E27" s="59"/>
      <c r="F27" s="59">
        <v>3000000</v>
      </c>
      <c r="G27" s="59">
        <v>2500000</v>
      </c>
      <c r="H27" s="59">
        <f t="shared" si="6"/>
        <v>53750000</v>
      </c>
      <c r="I27" s="59">
        <v>0</v>
      </c>
      <c r="J27" s="59">
        <v>10694471.8</v>
      </c>
      <c r="K27" s="59">
        <v>29891492.88</v>
      </c>
      <c r="L27" s="60">
        <f t="shared" si="4"/>
        <v>13164035.320000004</v>
      </c>
      <c r="M27" s="61">
        <v>16962000</v>
      </c>
      <c r="N27" s="61">
        <v>0</v>
      </c>
      <c r="O27" s="61">
        <f t="shared" si="5"/>
        <v>13164035.320000004</v>
      </c>
      <c r="P27" s="62">
        <f t="shared" si="7"/>
        <v>55.61207977674418</v>
      </c>
      <c r="Q27" s="47"/>
    </row>
    <row r="28" spans="1:17" ht="18.75">
      <c r="A28" s="70"/>
      <c r="B28" s="57" t="s">
        <v>230</v>
      </c>
      <c r="C28" s="58">
        <v>10299</v>
      </c>
      <c r="D28" s="59">
        <v>1500000</v>
      </c>
      <c r="E28" s="59"/>
      <c r="F28" s="59"/>
      <c r="G28" s="59"/>
      <c r="H28" s="59">
        <f t="shared" si="6"/>
        <v>1500000</v>
      </c>
      <c r="I28" s="59">
        <v>0</v>
      </c>
      <c r="J28" s="59">
        <v>390116.72</v>
      </c>
      <c r="K28" s="59">
        <v>778883.28</v>
      </c>
      <c r="L28" s="60">
        <f t="shared" si="4"/>
        <v>331000</v>
      </c>
      <c r="M28" s="61">
        <v>640000</v>
      </c>
      <c r="N28" s="61">
        <v>0</v>
      </c>
      <c r="O28" s="61">
        <f t="shared" si="5"/>
        <v>331000</v>
      </c>
      <c r="P28" s="62">
        <f t="shared" si="7"/>
        <v>51.925551999999996</v>
      </c>
      <c r="Q28" s="47"/>
    </row>
    <row r="29" spans="1:17" ht="18.75">
      <c r="A29" s="70"/>
      <c r="B29" s="57" t="s">
        <v>231</v>
      </c>
      <c r="C29" s="58">
        <v>10301</v>
      </c>
      <c r="D29" s="59">
        <v>6000000</v>
      </c>
      <c r="E29" s="59"/>
      <c r="F29" s="59"/>
      <c r="G29" s="59"/>
      <c r="H29" s="59">
        <f t="shared" si="6"/>
        <v>6000000</v>
      </c>
      <c r="I29" s="59">
        <v>1650000</v>
      </c>
      <c r="J29" s="59">
        <v>1003250</v>
      </c>
      <c r="K29" s="59">
        <v>616122</v>
      </c>
      <c r="L29" s="60">
        <f t="shared" si="4"/>
        <v>2730628</v>
      </c>
      <c r="M29" s="61">
        <v>1000000</v>
      </c>
      <c r="N29" s="61">
        <v>0</v>
      </c>
      <c r="O29" s="61">
        <f t="shared" si="5"/>
        <v>2730628</v>
      </c>
      <c r="P29" s="62">
        <f t="shared" si="7"/>
        <v>10.2687</v>
      </c>
      <c r="Q29" s="47"/>
    </row>
    <row r="30" spans="1:17" ht="18.75">
      <c r="A30" s="70"/>
      <c r="B30" s="57" t="s">
        <v>302</v>
      </c>
      <c r="C30" s="58">
        <v>10302</v>
      </c>
      <c r="D30" s="59">
        <v>0</v>
      </c>
      <c r="E30" s="59"/>
      <c r="F30" s="59"/>
      <c r="G30" s="59"/>
      <c r="H30" s="59">
        <f t="shared" si="6"/>
        <v>0</v>
      </c>
      <c r="I30" s="59">
        <v>0</v>
      </c>
      <c r="J30" s="59">
        <v>0</v>
      </c>
      <c r="K30" s="59">
        <v>0</v>
      </c>
      <c r="L30" s="60">
        <f t="shared" si="4"/>
        <v>0</v>
      </c>
      <c r="M30" s="61"/>
      <c r="N30" s="61"/>
      <c r="O30" s="61">
        <f t="shared" si="5"/>
        <v>0</v>
      </c>
      <c r="P30" s="62">
        <v>0</v>
      </c>
      <c r="Q30" s="47"/>
    </row>
    <row r="31" spans="1:17" ht="18.75">
      <c r="A31" s="70"/>
      <c r="B31" s="57" t="s">
        <v>232</v>
      </c>
      <c r="C31" s="58">
        <v>10303</v>
      </c>
      <c r="D31" s="59">
        <v>4000000</v>
      </c>
      <c r="E31" s="59"/>
      <c r="F31" s="59"/>
      <c r="G31" s="59"/>
      <c r="H31" s="59">
        <f t="shared" si="6"/>
        <v>4000000</v>
      </c>
      <c r="I31" s="59">
        <v>0</v>
      </c>
      <c r="J31" s="59">
        <v>761848</v>
      </c>
      <c r="K31" s="59">
        <v>89490</v>
      </c>
      <c r="L31" s="60">
        <f t="shared" si="4"/>
        <v>3148662</v>
      </c>
      <c r="M31" s="61">
        <v>5000000</v>
      </c>
      <c r="N31" s="61">
        <v>4700000</v>
      </c>
      <c r="O31" s="61">
        <f t="shared" si="5"/>
        <v>3148662</v>
      </c>
      <c r="P31" s="62">
        <f>+K31/H31*100</f>
        <v>2.23725</v>
      </c>
      <c r="Q31" s="47"/>
    </row>
    <row r="32" spans="1:17" ht="18.75">
      <c r="A32" s="70"/>
      <c r="B32" s="57" t="s">
        <v>233</v>
      </c>
      <c r="C32" s="58">
        <v>10304</v>
      </c>
      <c r="D32" s="59">
        <v>200000</v>
      </c>
      <c r="E32" s="59"/>
      <c r="F32" s="59"/>
      <c r="G32" s="59"/>
      <c r="H32" s="59">
        <f t="shared" si="6"/>
        <v>200000</v>
      </c>
      <c r="I32" s="59">
        <v>0</v>
      </c>
      <c r="J32" s="59">
        <v>2000</v>
      </c>
      <c r="K32" s="59">
        <v>8000</v>
      </c>
      <c r="L32" s="60">
        <f t="shared" si="4"/>
        <v>190000</v>
      </c>
      <c r="M32" s="61">
        <v>71600</v>
      </c>
      <c r="N32" s="61">
        <v>0</v>
      </c>
      <c r="O32" s="61">
        <f t="shared" si="5"/>
        <v>190000</v>
      </c>
      <c r="P32" s="62">
        <f>+K32/H32*100</f>
        <v>4</v>
      </c>
      <c r="Q32" s="47"/>
    </row>
    <row r="33" spans="1:17" ht="18.75">
      <c r="A33" s="70"/>
      <c r="B33" s="57" t="s">
        <v>234</v>
      </c>
      <c r="C33" s="58">
        <v>10306</v>
      </c>
      <c r="D33" s="59">
        <v>1700000</v>
      </c>
      <c r="E33" s="59"/>
      <c r="F33" s="59">
        <v>700000</v>
      </c>
      <c r="G33" s="59"/>
      <c r="H33" s="59">
        <f t="shared" si="6"/>
        <v>2400000</v>
      </c>
      <c r="I33" s="59">
        <v>0</v>
      </c>
      <c r="J33" s="59">
        <v>1540693.87</v>
      </c>
      <c r="K33" s="59">
        <v>859306.13</v>
      </c>
      <c r="L33" s="60">
        <f t="shared" si="4"/>
        <v>0</v>
      </c>
      <c r="M33" s="61">
        <v>87000</v>
      </c>
      <c r="N33" s="61">
        <v>87000</v>
      </c>
      <c r="O33" s="61">
        <f t="shared" si="5"/>
        <v>0</v>
      </c>
      <c r="P33" s="62">
        <f>+K33/H33*100</f>
        <v>35.80442208333333</v>
      </c>
      <c r="Q33" s="47"/>
    </row>
    <row r="34" spans="1:17" ht="36">
      <c r="A34" s="70"/>
      <c r="B34" s="57" t="s">
        <v>235</v>
      </c>
      <c r="C34" s="58">
        <v>10307</v>
      </c>
      <c r="D34" s="59">
        <v>16800000</v>
      </c>
      <c r="E34" s="59"/>
      <c r="F34" s="59"/>
      <c r="G34" s="59">
        <v>1400000</v>
      </c>
      <c r="H34" s="59">
        <f t="shared" si="6"/>
        <v>18200000</v>
      </c>
      <c r="I34" s="59">
        <v>0</v>
      </c>
      <c r="J34" s="59">
        <v>912686.61</v>
      </c>
      <c r="K34" s="59">
        <v>4787313.39</v>
      </c>
      <c r="L34" s="60">
        <f t="shared" si="4"/>
        <v>12500000</v>
      </c>
      <c r="M34" s="61">
        <v>3500000</v>
      </c>
      <c r="N34" s="61">
        <v>1700000</v>
      </c>
      <c r="O34" s="61">
        <f t="shared" si="5"/>
        <v>12500000</v>
      </c>
      <c r="P34" s="62">
        <f>+K34/H34*100</f>
        <v>26.30391972527472</v>
      </c>
      <c r="Q34" s="47"/>
    </row>
    <row r="35" spans="1:17" ht="18.75">
      <c r="A35" s="70"/>
      <c r="B35" s="57" t="s">
        <v>476</v>
      </c>
      <c r="C35" s="58">
        <v>10401</v>
      </c>
      <c r="D35" s="59">
        <v>200000</v>
      </c>
      <c r="E35" s="59"/>
      <c r="F35" s="59"/>
      <c r="G35" s="59"/>
      <c r="H35" s="59">
        <f t="shared" si="6"/>
        <v>200000</v>
      </c>
      <c r="I35" s="59"/>
      <c r="J35" s="59"/>
      <c r="K35" s="59"/>
      <c r="L35" s="60"/>
      <c r="M35" s="61"/>
      <c r="N35" s="61"/>
      <c r="O35" s="61">
        <f t="shared" si="5"/>
        <v>200000</v>
      </c>
      <c r="P35" s="62">
        <f aca="true" t="shared" si="8" ref="P35:P55">+K35/H35*100</f>
        <v>0</v>
      </c>
      <c r="Q35" s="47"/>
    </row>
    <row r="36" spans="1:17" ht="18.75">
      <c r="A36" s="70"/>
      <c r="B36" s="57" t="s">
        <v>306</v>
      </c>
      <c r="C36" s="58">
        <v>10403</v>
      </c>
      <c r="D36" s="59">
        <v>650000</v>
      </c>
      <c r="E36" s="59"/>
      <c r="F36" s="59"/>
      <c r="G36" s="59"/>
      <c r="H36" s="59">
        <f t="shared" si="6"/>
        <v>650000</v>
      </c>
      <c r="I36" s="59"/>
      <c r="J36" s="59"/>
      <c r="K36" s="59"/>
      <c r="L36" s="60">
        <f t="shared" si="4"/>
        <v>650000</v>
      </c>
      <c r="M36" s="61"/>
      <c r="N36" s="61"/>
      <c r="O36" s="61">
        <f t="shared" si="5"/>
        <v>650000</v>
      </c>
      <c r="P36" s="62">
        <f t="shared" si="8"/>
        <v>0</v>
      </c>
      <c r="Q36" s="47"/>
    </row>
    <row r="37" spans="1:17" ht="18.75">
      <c r="A37" s="70"/>
      <c r="B37" s="57" t="s">
        <v>479</v>
      </c>
      <c r="C37" s="58">
        <v>10404</v>
      </c>
      <c r="D37" s="59">
        <v>9000000</v>
      </c>
      <c r="E37" s="59"/>
      <c r="F37" s="59"/>
      <c r="G37" s="59"/>
      <c r="H37" s="59">
        <f t="shared" si="6"/>
        <v>9000000</v>
      </c>
      <c r="I37" s="59">
        <v>9000000</v>
      </c>
      <c r="J37" s="59">
        <v>0</v>
      </c>
      <c r="K37" s="59">
        <v>0</v>
      </c>
      <c r="L37" s="60"/>
      <c r="M37" s="61"/>
      <c r="N37" s="61"/>
      <c r="O37" s="61">
        <f t="shared" si="5"/>
        <v>0</v>
      </c>
      <c r="P37" s="62">
        <f t="shared" si="8"/>
        <v>0</v>
      </c>
      <c r="Q37" s="47"/>
    </row>
    <row r="38" spans="1:17" ht="18.75">
      <c r="A38" s="70"/>
      <c r="B38" s="57" t="s">
        <v>236</v>
      </c>
      <c r="C38" s="58">
        <v>10405</v>
      </c>
      <c r="D38" s="59">
        <v>88000000</v>
      </c>
      <c r="E38" s="59"/>
      <c r="F38" s="59"/>
      <c r="G38" s="59">
        <v>-60000000</v>
      </c>
      <c r="H38" s="59">
        <f t="shared" si="6"/>
        <v>28000000</v>
      </c>
      <c r="I38" s="59">
        <v>12975000</v>
      </c>
      <c r="J38" s="59">
        <v>10750000</v>
      </c>
      <c r="K38" s="59">
        <v>0</v>
      </c>
      <c r="L38" s="60">
        <f aca="true" t="shared" si="9" ref="L38:L57">+H37-I38-J38-K38</f>
        <v>-14725000</v>
      </c>
      <c r="M38" s="61">
        <v>10000000</v>
      </c>
      <c r="N38" s="61">
        <v>10000000</v>
      </c>
      <c r="O38" s="61">
        <f t="shared" si="5"/>
        <v>4275000</v>
      </c>
      <c r="P38" s="62">
        <f t="shared" si="8"/>
        <v>0</v>
      </c>
      <c r="Q38" s="47"/>
    </row>
    <row r="39" spans="1:17" ht="18.75">
      <c r="A39" s="70"/>
      <c r="B39" s="57" t="s">
        <v>237</v>
      </c>
      <c r="C39" s="58">
        <v>10406</v>
      </c>
      <c r="D39" s="59">
        <v>113300000</v>
      </c>
      <c r="E39" s="59"/>
      <c r="F39" s="59"/>
      <c r="G39" s="59"/>
      <c r="H39" s="59">
        <f t="shared" si="6"/>
        <v>113300000</v>
      </c>
      <c r="I39" s="59">
        <v>9543100</v>
      </c>
      <c r="J39" s="59">
        <v>28753161.49</v>
      </c>
      <c r="K39" s="59">
        <f>40348138.51-1436363.45</f>
        <v>38911775.059999995</v>
      </c>
      <c r="L39" s="60">
        <f t="shared" si="9"/>
        <v>-49208036.55</v>
      </c>
      <c r="M39" s="61">
        <v>54432000</v>
      </c>
      <c r="N39" s="61">
        <v>9675628.23</v>
      </c>
      <c r="O39" s="61">
        <f t="shared" si="5"/>
        <v>36091963.45000001</v>
      </c>
      <c r="P39" s="62">
        <f t="shared" si="8"/>
        <v>34.34402035304501</v>
      </c>
      <c r="Q39" s="47"/>
    </row>
    <row r="40" spans="1:17" ht="18.75">
      <c r="A40" s="70"/>
      <c r="B40" s="57" t="s">
        <v>238</v>
      </c>
      <c r="C40" s="58">
        <v>10499</v>
      </c>
      <c r="D40" s="59">
        <v>10200000</v>
      </c>
      <c r="E40" s="59"/>
      <c r="F40" s="59"/>
      <c r="G40" s="59"/>
      <c r="H40" s="59">
        <f t="shared" si="6"/>
        <v>10200000</v>
      </c>
      <c r="I40" s="59">
        <v>2491000</v>
      </c>
      <c r="J40" s="59">
        <v>1083056.95</v>
      </c>
      <c r="K40" s="59">
        <v>2446943.05</v>
      </c>
      <c r="L40" s="60">
        <f t="shared" si="9"/>
        <v>107279000</v>
      </c>
      <c r="M40" s="61">
        <v>6980000</v>
      </c>
      <c r="N40" s="61">
        <v>4194154.28</v>
      </c>
      <c r="O40" s="61">
        <f t="shared" si="5"/>
        <v>4179000</v>
      </c>
      <c r="P40" s="62">
        <f t="shared" si="8"/>
        <v>23.98963774509804</v>
      </c>
      <c r="Q40" s="47"/>
    </row>
    <row r="41" spans="1:17" ht="18.75">
      <c r="A41" s="70"/>
      <c r="B41" s="57" t="s">
        <v>239</v>
      </c>
      <c r="C41" s="58">
        <v>10501</v>
      </c>
      <c r="D41" s="59">
        <v>2000000</v>
      </c>
      <c r="E41" s="59"/>
      <c r="F41" s="59"/>
      <c r="G41" s="59"/>
      <c r="H41" s="59">
        <f t="shared" si="6"/>
        <v>2000000</v>
      </c>
      <c r="I41" s="59">
        <v>0</v>
      </c>
      <c r="J41" s="59">
        <v>21185</v>
      </c>
      <c r="K41" s="59">
        <v>778815</v>
      </c>
      <c r="L41" s="60">
        <f t="shared" si="9"/>
        <v>9400000</v>
      </c>
      <c r="M41" s="61">
        <v>2000000</v>
      </c>
      <c r="N41" s="61">
        <v>768582.2</v>
      </c>
      <c r="O41" s="61">
        <f t="shared" si="5"/>
        <v>1200000</v>
      </c>
      <c r="P41" s="62">
        <f t="shared" si="8"/>
        <v>38.94075</v>
      </c>
      <c r="Q41" s="47"/>
    </row>
    <row r="42" spans="1:17" ht="18.75">
      <c r="A42" s="70"/>
      <c r="B42" s="57" t="s">
        <v>240</v>
      </c>
      <c r="C42" s="58">
        <v>10502</v>
      </c>
      <c r="D42" s="59">
        <v>25000000</v>
      </c>
      <c r="E42" s="59"/>
      <c r="F42" s="59"/>
      <c r="G42" s="59"/>
      <c r="H42" s="59">
        <f t="shared" si="6"/>
        <v>25000000</v>
      </c>
      <c r="I42" s="59">
        <v>0</v>
      </c>
      <c r="J42" s="59">
        <v>1623982</v>
      </c>
      <c r="K42" s="59">
        <v>10968818</v>
      </c>
      <c r="L42" s="60">
        <f t="shared" si="9"/>
        <v>-10592800</v>
      </c>
      <c r="M42" s="61">
        <v>17500000</v>
      </c>
      <c r="N42" s="61">
        <v>6419663</v>
      </c>
      <c r="O42" s="61">
        <f t="shared" si="5"/>
        <v>12407200</v>
      </c>
      <c r="P42" s="62">
        <f t="shared" si="8"/>
        <v>43.875271999999995</v>
      </c>
      <c r="Q42" s="47"/>
    </row>
    <row r="43" spans="1:17" ht="18.75">
      <c r="A43" s="70"/>
      <c r="B43" s="57" t="s">
        <v>241</v>
      </c>
      <c r="C43" s="58">
        <v>10503</v>
      </c>
      <c r="D43" s="59">
        <v>3000000</v>
      </c>
      <c r="E43" s="59"/>
      <c r="F43" s="59"/>
      <c r="G43" s="59"/>
      <c r="H43" s="59">
        <f t="shared" si="6"/>
        <v>3000000</v>
      </c>
      <c r="I43" s="59">
        <v>344748</v>
      </c>
      <c r="J43" s="59">
        <v>8072.19</v>
      </c>
      <c r="K43" s="59">
        <v>890761.5</v>
      </c>
      <c r="L43" s="60">
        <f t="shared" si="9"/>
        <v>23756418.31</v>
      </c>
      <c r="M43" s="61">
        <v>2000000</v>
      </c>
      <c r="N43" s="61">
        <v>1430000</v>
      </c>
      <c r="O43" s="61">
        <f t="shared" si="5"/>
        <v>1756418.31</v>
      </c>
      <c r="P43" s="62">
        <f t="shared" si="8"/>
        <v>29.69205</v>
      </c>
      <c r="Q43" s="47"/>
    </row>
    <row r="44" spans="1:17" ht="18.75">
      <c r="A44" s="70"/>
      <c r="B44" s="57" t="s">
        <v>242</v>
      </c>
      <c r="C44" s="58">
        <v>10504</v>
      </c>
      <c r="D44" s="59">
        <v>4500000</v>
      </c>
      <c r="E44" s="59"/>
      <c r="F44" s="59"/>
      <c r="G44" s="59"/>
      <c r="H44" s="59">
        <f t="shared" si="6"/>
        <v>4500000</v>
      </c>
      <c r="I44" s="59">
        <v>0</v>
      </c>
      <c r="J44" s="59">
        <v>965125.37</v>
      </c>
      <c r="K44" s="59">
        <v>1534874.63</v>
      </c>
      <c r="L44" s="60">
        <f t="shared" si="9"/>
        <v>500000</v>
      </c>
      <c r="M44" s="61">
        <v>3000000</v>
      </c>
      <c r="N44" s="61">
        <v>3000000</v>
      </c>
      <c r="O44" s="61">
        <f t="shared" si="5"/>
        <v>2000000</v>
      </c>
      <c r="P44" s="62">
        <f t="shared" si="8"/>
        <v>34.10832511111111</v>
      </c>
      <c r="Q44" s="47"/>
    </row>
    <row r="45" spans="1:17" ht="18.75">
      <c r="A45" s="70"/>
      <c r="B45" s="57" t="s">
        <v>243</v>
      </c>
      <c r="C45" s="58">
        <v>10601</v>
      </c>
      <c r="D45" s="59">
        <v>45000000</v>
      </c>
      <c r="E45" s="59"/>
      <c r="F45" s="59">
        <v>-1500000</v>
      </c>
      <c r="G45" s="59">
        <v>-6000000</v>
      </c>
      <c r="H45" s="59">
        <f t="shared" si="6"/>
        <v>37500000</v>
      </c>
      <c r="I45" s="59">
        <v>0</v>
      </c>
      <c r="J45" s="59">
        <v>0</v>
      </c>
      <c r="K45" s="59">
        <v>27418870</v>
      </c>
      <c r="L45" s="60">
        <f t="shared" si="9"/>
        <v>-22918870</v>
      </c>
      <c r="M45" s="61">
        <v>35400000</v>
      </c>
      <c r="N45" s="61">
        <v>0</v>
      </c>
      <c r="O45" s="61">
        <f t="shared" si="5"/>
        <v>10081130</v>
      </c>
      <c r="P45" s="62">
        <f t="shared" si="8"/>
        <v>73.11698666666666</v>
      </c>
      <c r="Q45" s="47"/>
    </row>
    <row r="46" spans="1:17" ht="18.75">
      <c r="A46" s="70"/>
      <c r="B46" s="57" t="s">
        <v>244</v>
      </c>
      <c r="C46" s="58">
        <v>10701</v>
      </c>
      <c r="D46" s="59">
        <v>10000000</v>
      </c>
      <c r="E46" s="59"/>
      <c r="F46" s="59"/>
      <c r="G46" s="59"/>
      <c r="H46" s="59">
        <f t="shared" si="6"/>
        <v>10000000</v>
      </c>
      <c r="I46" s="59">
        <v>548102</v>
      </c>
      <c r="J46" s="59">
        <v>864711.8</v>
      </c>
      <c r="K46" s="59">
        <v>3115043.35</v>
      </c>
      <c r="L46" s="60">
        <f t="shared" si="9"/>
        <v>32972142.85</v>
      </c>
      <c r="M46" s="61">
        <v>4000000</v>
      </c>
      <c r="N46" s="61">
        <v>1634836</v>
      </c>
      <c r="O46" s="61">
        <f t="shared" si="5"/>
        <v>5472142.85</v>
      </c>
      <c r="P46" s="62">
        <f t="shared" si="8"/>
        <v>31.150433500000002</v>
      </c>
      <c r="Q46" s="47"/>
    </row>
    <row r="47" spans="1:17" ht="18.75">
      <c r="A47" s="70"/>
      <c r="B47" s="57" t="s">
        <v>245</v>
      </c>
      <c r="C47" s="58">
        <v>10702</v>
      </c>
      <c r="D47" s="59">
        <v>3000000</v>
      </c>
      <c r="E47" s="59"/>
      <c r="F47" s="59"/>
      <c r="G47" s="59"/>
      <c r="H47" s="59">
        <f t="shared" si="6"/>
        <v>3000000</v>
      </c>
      <c r="I47" s="59">
        <v>882000</v>
      </c>
      <c r="J47" s="59">
        <v>81370</v>
      </c>
      <c r="K47" s="59">
        <v>18630</v>
      </c>
      <c r="L47" s="60">
        <f t="shared" si="9"/>
        <v>9018000</v>
      </c>
      <c r="M47" s="61">
        <v>3000000</v>
      </c>
      <c r="N47" s="61">
        <v>2368530</v>
      </c>
      <c r="O47" s="61">
        <f t="shared" si="5"/>
        <v>2018000</v>
      </c>
      <c r="P47" s="62">
        <f t="shared" si="8"/>
        <v>0.621</v>
      </c>
      <c r="Q47" s="47"/>
    </row>
    <row r="48" spans="1:17" ht="18.75">
      <c r="A48" s="70"/>
      <c r="B48" s="57" t="s">
        <v>246</v>
      </c>
      <c r="C48" s="58">
        <v>10703</v>
      </c>
      <c r="D48" s="59">
        <v>200000</v>
      </c>
      <c r="E48" s="59"/>
      <c r="F48" s="59"/>
      <c r="G48" s="59"/>
      <c r="H48" s="59">
        <f t="shared" si="6"/>
        <v>200000</v>
      </c>
      <c r="I48" s="59">
        <v>0</v>
      </c>
      <c r="J48" s="59">
        <v>131400</v>
      </c>
      <c r="K48" s="59">
        <v>68600</v>
      </c>
      <c r="L48" s="60">
        <f t="shared" si="9"/>
        <v>2800000</v>
      </c>
      <c r="M48" s="61">
        <v>500000</v>
      </c>
      <c r="N48" s="61">
        <v>0</v>
      </c>
      <c r="O48" s="61">
        <f t="shared" si="5"/>
        <v>0</v>
      </c>
      <c r="P48" s="62">
        <f t="shared" si="8"/>
        <v>34.300000000000004</v>
      </c>
      <c r="Q48" s="47"/>
    </row>
    <row r="49" spans="1:18" ht="18.75">
      <c r="A49" s="70"/>
      <c r="B49" s="57" t="s">
        <v>247</v>
      </c>
      <c r="C49" s="58">
        <v>10801</v>
      </c>
      <c r="D49" s="59">
        <v>30000000</v>
      </c>
      <c r="E49" s="59">
        <v>-3000000</v>
      </c>
      <c r="F49" s="59"/>
      <c r="G49" s="59">
        <v>4000000</v>
      </c>
      <c r="H49" s="59">
        <f t="shared" si="6"/>
        <v>31000000</v>
      </c>
      <c r="I49" s="59">
        <v>3080000</v>
      </c>
      <c r="J49" s="59">
        <v>4925001</v>
      </c>
      <c r="K49" s="59">
        <v>981099</v>
      </c>
      <c r="L49" s="60">
        <f t="shared" si="9"/>
        <v>-8786100</v>
      </c>
      <c r="M49" s="61">
        <v>28000000</v>
      </c>
      <c r="N49" s="61">
        <v>22343000</v>
      </c>
      <c r="O49" s="61">
        <f t="shared" si="5"/>
        <v>22013900</v>
      </c>
      <c r="P49" s="62">
        <f t="shared" si="8"/>
        <v>3.1648354838709674</v>
      </c>
      <c r="Q49" s="47"/>
      <c r="R49" s="3" t="s">
        <v>207</v>
      </c>
    </row>
    <row r="50" spans="1:17" ht="18.75">
      <c r="A50" s="70"/>
      <c r="B50" s="57" t="s">
        <v>248</v>
      </c>
      <c r="C50" s="58">
        <v>10804</v>
      </c>
      <c r="D50" s="59">
        <v>4000000</v>
      </c>
      <c r="E50" s="59"/>
      <c r="F50" s="59"/>
      <c r="G50" s="59"/>
      <c r="H50" s="59">
        <f t="shared" si="6"/>
        <v>4000000</v>
      </c>
      <c r="I50" s="59">
        <v>0</v>
      </c>
      <c r="J50" s="59">
        <v>730000</v>
      </c>
      <c r="K50" s="59">
        <v>1083250</v>
      </c>
      <c r="L50" s="60">
        <f t="shared" si="9"/>
        <v>29186750</v>
      </c>
      <c r="M50" s="61">
        <v>3200000</v>
      </c>
      <c r="N50" s="61">
        <v>0</v>
      </c>
      <c r="O50" s="61">
        <f t="shared" si="5"/>
        <v>2186750</v>
      </c>
      <c r="P50" s="62">
        <f t="shared" si="8"/>
        <v>27.08125</v>
      </c>
      <c r="Q50" s="47"/>
    </row>
    <row r="51" spans="1:17" ht="18.75">
      <c r="A51" s="70"/>
      <c r="B51" s="57" t="s">
        <v>249</v>
      </c>
      <c r="C51" s="58">
        <v>10805</v>
      </c>
      <c r="D51" s="59">
        <v>9000000</v>
      </c>
      <c r="E51" s="59"/>
      <c r="F51" s="59">
        <v>2000000</v>
      </c>
      <c r="G51" s="59">
        <v>1500000</v>
      </c>
      <c r="H51" s="59">
        <f t="shared" si="6"/>
        <v>12500000</v>
      </c>
      <c r="I51" s="59">
        <v>65300</v>
      </c>
      <c r="J51" s="59">
        <v>2412372.5</v>
      </c>
      <c r="K51" s="59">
        <v>5862726.5</v>
      </c>
      <c r="L51" s="60">
        <f t="shared" si="9"/>
        <v>-4340399</v>
      </c>
      <c r="M51" s="61">
        <v>3412000</v>
      </c>
      <c r="N51" s="61">
        <v>0</v>
      </c>
      <c r="O51" s="61">
        <f t="shared" si="5"/>
        <v>4159601</v>
      </c>
      <c r="P51" s="62">
        <f t="shared" si="8"/>
        <v>46.901812</v>
      </c>
      <c r="Q51" s="47"/>
    </row>
    <row r="52" spans="1:17" ht="18.75">
      <c r="A52" s="70"/>
      <c r="B52" s="57" t="s">
        <v>250</v>
      </c>
      <c r="C52" s="58">
        <v>10806</v>
      </c>
      <c r="D52" s="59">
        <v>1000000</v>
      </c>
      <c r="E52" s="59"/>
      <c r="F52" s="59"/>
      <c r="G52" s="59"/>
      <c r="H52" s="59">
        <f t="shared" si="6"/>
        <v>1000000</v>
      </c>
      <c r="I52" s="59">
        <v>0</v>
      </c>
      <c r="J52" s="59">
        <v>0</v>
      </c>
      <c r="K52" s="59">
        <v>40000</v>
      </c>
      <c r="L52" s="60">
        <f t="shared" si="9"/>
        <v>12460000</v>
      </c>
      <c r="M52" s="61">
        <v>1250000</v>
      </c>
      <c r="N52" s="61">
        <v>1200000</v>
      </c>
      <c r="O52" s="61">
        <f t="shared" si="5"/>
        <v>960000</v>
      </c>
      <c r="P52" s="62">
        <f t="shared" si="8"/>
        <v>4</v>
      </c>
      <c r="Q52" s="47"/>
    </row>
    <row r="53" spans="1:17" ht="18.75">
      <c r="A53" s="70"/>
      <c r="B53" s="57" t="s">
        <v>251</v>
      </c>
      <c r="C53" s="58">
        <v>10807</v>
      </c>
      <c r="D53" s="59">
        <v>3500000</v>
      </c>
      <c r="E53" s="59"/>
      <c r="F53" s="59"/>
      <c r="G53" s="59"/>
      <c r="H53" s="59">
        <f t="shared" si="6"/>
        <v>3500000</v>
      </c>
      <c r="I53" s="59">
        <v>264662.68</v>
      </c>
      <c r="J53" s="59">
        <v>1999502.51</v>
      </c>
      <c r="K53" s="59">
        <v>182567.15</v>
      </c>
      <c r="L53" s="60">
        <f t="shared" si="9"/>
        <v>-1446732.3399999999</v>
      </c>
      <c r="M53" s="61">
        <v>2600000</v>
      </c>
      <c r="N53" s="61">
        <v>616428.59</v>
      </c>
      <c r="O53" s="61">
        <f t="shared" si="5"/>
        <v>1053267.66</v>
      </c>
      <c r="P53" s="62">
        <f t="shared" si="8"/>
        <v>5.216204285714285</v>
      </c>
      <c r="Q53" s="47"/>
    </row>
    <row r="54" spans="1:17" ht="18.75">
      <c r="A54" s="70"/>
      <c r="B54" s="57" t="s">
        <v>252</v>
      </c>
      <c r="C54" s="58">
        <v>10808</v>
      </c>
      <c r="D54" s="59">
        <v>2500000</v>
      </c>
      <c r="E54" s="59"/>
      <c r="F54" s="59"/>
      <c r="G54" s="59"/>
      <c r="H54" s="59">
        <f t="shared" si="6"/>
        <v>2500000</v>
      </c>
      <c r="I54" s="59">
        <v>500000</v>
      </c>
      <c r="J54" s="59">
        <v>294348.47</v>
      </c>
      <c r="K54" s="59">
        <v>58506.06</v>
      </c>
      <c r="L54" s="60">
        <f t="shared" si="9"/>
        <v>2647145.47</v>
      </c>
      <c r="M54" s="61">
        <v>1000000</v>
      </c>
      <c r="N54" s="61">
        <v>63861.04</v>
      </c>
      <c r="O54" s="61">
        <f t="shared" si="5"/>
        <v>1647145.47</v>
      </c>
      <c r="P54" s="62">
        <f t="shared" si="8"/>
        <v>2.3402423999999997</v>
      </c>
      <c r="Q54" s="50" t="s">
        <v>207</v>
      </c>
    </row>
    <row r="55" spans="1:17" ht="18.75">
      <c r="A55" s="70"/>
      <c r="B55" s="57" t="s">
        <v>253</v>
      </c>
      <c r="C55" s="58">
        <v>10899</v>
      </c>
      <c r="D55" s="59">
        <v>150000</v>
      </c>
      <c r="E55" s="59"/>
      <c r="F55" s="59"/>
      <c r="G55" s="59"/>
      <c r="H55" s="59">
        <f t="shared" si="6"/>
        <v>150000</v>
      </c>
      <c r="I55" s="59">
        <v>0</v>
      </c>
      <c r="J55" s="59">
        <v>0</v>
      </c>
      <c r="K55" s="59">
        <v>0</v>
      </c>
      <c r="L55" s="60">
        <f t="shared" si="9"/>
        <v>2500000</v>
      </c>
      <c r="M55" s="61"/>
      <c r="N55" s="61"/>
      <c r="O55" s="61">
        <f t="shared" si="5"/>
        <v>150000</v>
      </c>
      <c r="P55" s="62">
        <f t="shared" si="8"/>
        <v>0</v>
      </c>
      <c r="Q55" s="47"/>
    </row>
    <row r="56" spans="1:17" ht="18.75">
      <c r="A56" s="70"/>
      <c r="B56" s="57" t="s">
        <v>254</v>
      </c>
      <c r="C56" s="58">
        <v>10999</v>
      </c>
      <c r="D56" s="59">
        <v>600000</v>
      </c>
      <c r="E56" s="59"/>
      <c r="F56" s="59"/>
      <c r="G56" s="59"/>
      <c r="H56" s="59">
        <f t="shared" si="6"/>
        <v>600000</v>
      </c>
      <c r="I56" s="59">
        <v>0</v>
      </c>
      <c r="J56" s="59">
        <v>0</v>
      </c>
      <c r="K56" s="59">
        <v>0</v>
      </c>
      <c r="L56" s="60">
        <f t="shared" si="9"/>
        <v>150000</v>
      </c>
      <c r="M56" s="61">
        <v>0</v>
      </c>
      <c r="N56" s="61">
        <v>0</v>
      </c>
      <c r="O56" s="61">
        <f t="shared" si="5"/>
        <v>600000</v>
      </c>
      <c r="P56" s="62">
        <f>+K56/H55*100</f>
        <v>0</v>
      </c>
      <c r="Q56" s="47"/>
    </row>
    <row r="57" spans="1:17" ht="18.75">
      <c r="A57" s="71"/>
      <c r="B57" s="57" t="s">
        <v>255</v>
      </c>
      <c r="C57" s="58">
        <v>19905</v>
      </c>
      <c r="D57" s="59">
        <v>500000</v>
      </c>
      <c r="E57" s="59"/>
      <c r="F57" s="59"/>
      <c r="G57" s="59"/>
      <c r="H57" s="59">
        <f t="shared" si="6"/>
        <v>500000</v>
      </c>
      <c r="I57" s="59">
        <v>0</v>
      </c>
      <c r="J57" s="59">
        <v>0</v>
      </c>
      <c r="K57" s="59">
        <v>0</v>
      </c>
      <c r="L57" s="60">
        <f t="shared" si="9"/>
        <v>600000</v>
      </c>
      <c r="M57" s="61">
        <v>1000000</v>
      </c>
      <c r="N57" s="61">
        <v>1000000</v>
      </c>
      <c r="O57" s="61">
        <f t="shared" si="5"/>
        <v>500000</v>
      </c>
      <c r="P57" s="62">
        <f>+K57/H56*100</f>
        <v>0</v>
      </c>
      <c r="Q57" s="47"/>
    </row>
    <row r="58" spans="1:17" ht="18.75">
      <c r="A58" s="70"/>
      <c r="B58" s="57" t="s">
        <v>305</v>
      </c>
      <c r="C58" s="58">
        <v>19999</v>
      </c>
      <c r="D58" s="59">
        <v>0</v>
      </c>
      <c r="E58" s="59"/>
      <c r="F58" s="59"/>
      <c r="G58" s="59"/>
      <c r="H58" s="59">
        <f t="shared" si="6"/>
        <v>0</v>
      </c>
      <c r="I58" s="59">
        <v>0</v>
      </c>
      <c r="J58" s="59">
        <v>0</v>
      </c>
      <c r="K58" s="59">
        <v>0</v>
      </c>
      <c r="L58" s="60">
        <v>280000</v>
      </c>
      <c r="M58" s="61"/>
      <c r="N58" s="61"/>
      <c r="O58" s="61">
        <f t="shared" si="5"/>
        <v>0</v>
      </c>
      <c r="P58" s="62">
        <v>0</v>
      </c>
      <c r="Q58" s="47"/>
    </row>
    <row r="59" spans="1:17" ht="17.25" customHeight="1">
      <c r="A59" s="70"/>
      <c r="B59" s="73" t="s">
        <v>256</v>
      </c>
      <c r="C59" s="74"/>
      <c r="D59" s="75">
        <f>SUM(D21:D58)</f>
        <v>563350000</v>
      </c>
      <c r="E59" s="75">
        <f>SUM(E21:E58)</f>
        <v>-7600000</v>
      </c>
      <c r="F59" s="75">
        <f>SUM(F21:F58)</f>
        <v>-4200000</v>
      </c>
      <c r="G59" s="75">
        <f>SUM(G21:G58)</f>
        <v>-60500000</v>
      </c>
      <c r="H59" s="75">
        <f>SUM(H21:H57)</f>
        <v>491050000</v>
      </c>
      <c r="I59" s="75">
        <f aca="true" t="shared" si="10" ref="I59:O59">SUM(I21:I58)</f>
        <v>41802158.93</v>
      </c>
      <c r="J59" s="75">
        <f t="shared" si="10"/>
        <v>94317146.61</v>
      </c>
      <c r="K59" s="75">
        <f>SUM(K21:K57)</f>
        <v>174127002.65</v>
      </c>
      <c r="L59" s="75">
        <f t="shared" si="10"/>
        <v>189383691.81</v>
      </c>
      <c r="M59" s="75">
        <f t="shared" si="10"/>
        <v>248394600</v>
      </c>
      <c r="N59" s="75">
        <f t="shared" si="10"/>
        <v>76644241.24000001</v>
      </c>
      <c r="O59" s="75">
        <f t="shared" si="10"/>
        <v>180803691.81</v>
      </c>
      <c r="P59" s="68">
        <f>+K59/H59*100</f>
        <v>35.4601369819774</v>
      </c>
      <c r="Q59" s="47"/>
    </row>
    <row r="60" spans="1:17" ht="18.75">
      <c r="A60" s="69" t="s">
        <v>257</v>
      </c>
      <c r="B60" s="57" t="s">
        <v>258</v>
      </c>
      <c r="C60" s="58">
        <v>20101</v>
      </c>
      <c r="D60" s="61">
        <v>12000000</v>
      </c>
      <c r="E60" s="61"/>
      <c r="F60" s="61"/>
      <c r="G60" s="61"/>
      <c r="H60" s="61">
        <f>+D60+E60</f>
        <v>12000000</v>
      </c>
      <c r="I60" s="61">
        <v>0</v>
      </c>
      <c r="J60" s="61">
        <v>241172</v>
      </c>
      <c r="K60" s="61">
        <v>5608828</v>
      </c>
      <c r="L60" s="61">
        <v>0</v>
      </c>
      <c r="M60" s="61">
        <v>4723590</v>
      </c>
      <c r="N60" s="61">
        <v>4574869.91</v>
      </c>
      <c r="O60" s="61">
        <f>+H60-I60-J60-K60</f>
        <v>6150000</v>
      </c>
      <c r="P60" s="62">
        <f>+K60/H60*100</f>
        <v>46.74023333333333</v>
      </c>
      <c r="Q60" s="47"/>
    </row>
    <row r="61" spans="1:17" ht="18.75">
      <c r="A61" s="70"/>
      <c r="B61" s="57" t="s">
        <v>259</v>
      </c>
      <c r="C61" s="58">
        <v>20102</v>
      </c>
      <c r="D61" s="61">
        <v>1000000</v>
      </c>
      <c r="E61" s="61">
        <v>500000</v>
      </c>
      <c r="F61" s="61"/>
      <c r="G61" s="61"/>
      <c r="H61" s="61">
        <f aca="true" t="shared" si="11" ref="H61:H82">+D61+E61</f>
        <v>1500000</v>
      </c>
      <c r="I61" s="61">
        <v>202450</v>
      </c>
      <c r="J61" s="61">
        <v>692550.1</v>
      </c>
      <c r="K61" s="61">
        <v>417974.7</v>
      </c>
      <c r="L61" s="61">
        <v>881760</v>
      </c>
      <c r="M61" s="61">
        <v>1850000</v>
      </c>
      <c r="N61" s="61">
        <v>1800000</v>
      </c>
      <c r="O61" s="61">
        <f aca="true" t="shared" si="12" ref="O61:O82">+H61-I61-J61-K61</f>
        <v>187025.2</v>
      </c>
      <c r="P61" s="62">
        <f aca="true" t="shared" si="13" ref="P61:P82">+K61/H61*100</f>
        <v>27.86498</v>
      </c>
      <c r="Q61" s="47"/>
    </row>
    <row r="62" spans="1:17" ht="18.75">
      <c r="A62" s="70"/>
      <c r="B62" s="57" t="s">
        <v>260</v>
      </c>
      <c r="C62" s="58">
        <v>20104</v>
      </c>
      <c r="D62" s="61">
        <v>10000000</v>
      </c>
      <c r="E62" s="61"/>
      <c r="F62" s="61"/>
      <c r="G62" s="61"/>
      <c r="H62" s="61">
        <f t="shared" si="11"/>
        <v>10000000</v>
      </c>
      <c r="I62" s="61">
        <v>0</v>
      </c>
      <c r="J62" s="61">
        <v>9540.04</v>
      </c>
      <c r="K62" s="61">
        <v>4145549.78</v>
      </c>
      <c r="L62" s="61">
        <v>1000906.27</v>
      </c>
      <c r="M62" s="61">
        <v>5500000</v>
      </c>
      <c r="N62" s="61">
        <v>58920.85</v>
      </c>
      <c r="O62" s="61">
        <f t="shared" si="12"/>
        <v>5844910.180000002</v>
      </c>
      <c r="P62" s="62">
        <f t="shared" si="13"/>
        <v>41.455497799999996</v>
      </c>
      <c r="Q62" s="47"/>
    </row>
    <row r="63" spans="1:17" ht="18.75">
      <c r="A63" s="70"/>
      <c r="B63" s="57" t="s">
        <v>261</v>
      </c>
      <c r="C63" s="58">
        <v>20199</v>
      </c>
      <c r="D63" s="61">
        <v>200000</v>
      </c>
      <c r="E63" s="61"/>
      <c r="F63" s="61"/>
      <c r="G63" s="61"/>
      <c r="H63" s="61">
        <f t="shared" si="11"/>
        <v>200000</v>
      </c>
      <c r="I63" s="61">
        <v>0</v>
      </c>
      <c r="J63" s="61">
        <v>170040</v>
      </c>
      <c r="K63" s="61">
        <v>29800</v>
      </c>
      <c r="L63" s="61">
        <v>2000.8</v>
      </c>
      <c r="M63" s="61">
        <v>0</v>
      </c>
      <c r="N63" s="61">
        <v>-1863.45</v>
      </c>
      <c r="O63" s="61">
        <f t="shared" si="12"/>
        <v>160</v>
      </c>
      <c r="P63" s="62">
        <f t="shared" si="13"/>
        <v>14.899999999999999</v>
      </c>
      <c r="Q63" s="47"/>
    </row>
    <row r="64" spans="1:17" ht="18.75">
      <c r="A64" s="70"/>
      <c r="B64" s="57" t="s">
        <v>262</v>
      </c>
      <c r="C64" s="58">
        <v>20202</v>
      </c>
      <c r="D64" s="61">
        <v>0</v>
      </c>
      <c r="E64" s="61"/>
      <c r="F64" s="61"/>
      <c r="G64" s="61"/>
      <c r="H64" s="61">
        <f t="shared" si="11"/>
        <v>0</v>
      </c>
      <c r="I64" s="61">
        <v>0</v>
      </c>
      <c r="J64" s="61">
        <v>0</v>
      </c>
      <c r="K64" s="61">
        <v>0</v>
      </c>
      <c r="L64" s="61">
        <v>500</v>
      </c>
      <c r="M64" s="61">
        <v>100000</v>
      </c>
      <c r="N64" s="61">
        <v>100000</v>
      </c>
      <c r="O64" s="61">
        <f t="shared" si="12"/>
        <v>0</v>
      </c>
      <c r="P64" s="62">
        <v>0</v>
      </c>
      <c r="Q64" s="47"/>
    </row>
    <row r="65" spans="1:17" ht="18.75">
      <c r="A65" s="70"/>
      <c r="B65" s="57" t="s">
        <v>263</v>
      </c>
      <c r="C65" s="58">
        <v>20203</v>
      </c>
      <c r="D65" s="61">
        <v>1700000</v>
      </c>
      <c r="E65" s="61"/>
      <c r="F65" s="61"/>
      <c r="G65" s="61"/>
      <c r="H65" s="61">
        <f t="shared" si="11"/>
        <v>1700000</v>
      </c>
      <c r="I65" s="61">
        <v>0</v>
      </c>
      <c r="J65" s="61">
        <v>57692.8</v>
      </c>
      <c r="K65" s="61">
        <v>762910.2</v>
      </c>
      <c r="L65" s="61">
        <v>25097.24</v>
      </c>
      <c r="M65" s="61">
        <v>800000</v>
      </c>
      <c r="N65" s="61">
        <v>0</v>
      </c>
      <c r="O65" s="61">
        <f t="shared" si="12"/>
        <v>879397</v>
      </c>
      <c r="P65" s="62">
        <f t="shared" si="13"/>
        <v>44.87707058823529</v>
      </c>
      <c r="Q65" s="47"/>
    </row>
    <row r="66" spans="1:17" ht="18.75">
      <c r="A66" s="70"/>
      <c r="B66" s="57" t="s">
        <v>264</v>
      </c>
      <c r="C66" s="58">
        <v>20301</v>
      </c>
      <c r="D66" s="61">
        <v>200000</v>
      </c>
      <c r="E66" s="61"/>
      <c r="F66" s="61"/>
      <c r="G66" s="61"/>
      <c r="H66" s="61">
        <f t="shared" si="11"/>
        <v>200000</v>
      </c>
      <c r="I66" s="61">
        <v>0</v>
      </c>
      <c r="J66" s="61">
        <v>28865.25</v>
      </c>
      <c r="K66" s="61">
        <v>101134.75</v>
      </c>
      <c r="L66" s="61">
        <v>0</v>
      </c>
      <c r="M66" s="61">
        <v>1350000</v>
      </c>
      <c r="N66" s="61">
        <v>1290821.9</v>
      </c>
      <c r="O66" s="61">
        <f t="shared" si="12"/>
        <v>70000</v>
      </c>
      <c r="P66" s="62">
        <f t="shared" si="13"/>
        <v>50.567375000000006</v>
      </c>
      <c r="Q66" s="47"/>
    </row>
    <row r="67" spans="1:17" ht="18.75">
      <c r="A67" s="70"/>
      <c r="B67" s="57" t="s">
        <v>265</v>
      </c>
      <c r="C67" s="58">
        <v>20302</v>
      </c>
      <c r="D67" s="61">
        <v>200000</v>
      </c>
      <c r="E67" s="61"/>
      <c r="F67" s="61"/>
      <c r="G67" s="61"/>
      <c r="H67" s="61">
        <f t="shared" si="11"/>
        <v>200000</v>
      </c>
      <c r="I67" s="61">
        <v>0</v>
      </c>
      <c r="J67" s="61">
        <v>452.55</v>
      </c>
      <c r="K67" s="61">
        <v>9547.45</v>
      </c>
      <c r="L67" s="61">
        <v>4350</v>
      </c>
      <c r="M67" s="61"/>
      <c r="N67" s="61"/>
      <c r="O67" s="61">
        <f t="shared" si="12"/>
        <v>190000</v>
      </c>
      <c r="P67" s="62">
        <f t="shared" si="13"/>
        <v>4.773725</v>
      </c>
      <c r="Q67" s="47"/>
    </row>
    <row r="68" spans="1:17" ht="18.75">
      <c r="A68" s="70"/>
      <c r="B68" s="57" t="s">
        <v>266</v>
      </c>
      <c r="C68" s="58">
        <v>20303</v>
      </c>
      <c r="D68" s="61">
        <v>150000</v>
      </c>
      <c r="E68" s="61"/>
      <c r="F68" s="61"/>
      <c r="G68" s="61"/>
      <c r="H68" s="61">
        <f t="shared" si="11"/>
        <v>150000</v>
      </c>
      <c r="I68" s="61">
        <v>110000</v>
      </c>
      <c r="J68" s="61">
        <v>16700</v>
      </c>
      <c r="K68" s="61">
        <v>23300</v>
      </c>
      <c r="L68" s="61">
        <v>300</v>
      </c>
      <c r="M68" s="61">
        <v>200000</v>
      </c>
      <c r="N68" s="61">
        <v>200000</v>
      </c>
      <c r="O68" s="61">
        <f t="shared" si="12"/>
        <v>0</v>
      </c>
      <c r="P68" s="62">
        <f t="shared" si="13"/>
        <v>15.533333333333331</v>
      </c>
      <c r="Q68" s="47"/>
    </row>
    <row r="69" spans="1:17" ht="36">
      <c r="A69" s="70"/>
      <c r="B69" s="57" t="s">
        <v>267</v>
      </c>
      <c r="C69" s="58">
        <v>20304</v>
      </c>
      <c r="D69" s="61">
        <v>4200000</v>
      </c>
      <c r="E69" s="61"/>
      <c r="F69" s="61"/>
      <c r="G69" s="61"/>
      <c r="H69" s="61">
        <f t="shared" si="11"/>
        <v>4200000</v>
      </c>
      <c r="I69" s="61">
        <v>80000</v>
      </c>
      <c r="J69" s="61">
        <v>12374.56</v>
      </c>
      <c r="K69" s="61">
        <v>387625.44</v>
      </c>
      <c r="L69" s="61">
        <v>0</v>
      </c>
      <c r="M69" s="61">
        <v>2000000</v>
      </c>
      <c r="N69" s="61">
        <v>1851750.21</v>
      </c>
      <c r="O69" s="61">
        <f t="shared" si="12"/>
        <v>3720000</v>
      </c>
      <c r="P69" s="62">
        <f t="shared" si="13"/>
        <v>9.229177142857143</v>
      </c>
      <c r="Q69" s="47"/>
    </row>
    <row r="70" spans="1:17" ht="18.75">
      <c r="A70" s="70"/>
      <c r="B70" s="57" t="s">
        <v>268</v>
      </c>
      <c r="C70" s="58">
        <v>20305</v>
      </c>
      <c r="D70" s="61">
        <v>50000</v>
      </c>
      <c r="E70" s="61"/>
      <c r="F70" s="61"/>
      <c r="G70" s="61"/>
      <c r="H70" s="61">
        <f t="shared" si="11"/>
        <v>50000</v>
      </c>
      <c r="I70" s="61">
        <v>0</v>
      </c>
      <c r="J70" s="61">
        <v>0</v>
      </c>
      <c r="K70" s="61">
        <v>0</v>
      </c>
      <c r="L70" s="61">
        <v>18000</v>
      </c>
      <c r="M70" s="61">
        <v>160000</v>
      </c>
      <c r="N70" s="61">
        <v>97404.9</v>
      </c>
      <c r="O70" s="61">
        <f t="shared" si="12"/>
        <v>50000</v>
      </c>
      <c r="P70" s="62">
        <f t="shared" si="13"/>
        <v>0</v>
      </c>
      <c r="Q70" s="47"/>
    </row>
    <row r="71" spans="1:17" ht="18.75">
      <c r="A71" s="70"/>
      <c r="B71" s="57" t="s">
        <v>269</v>
      </c>
      <c r="C71" s="58">
        <v>20306</v>
      </c>
      <c r="D71" s="61">
        <v>700000</v>
      </c>
      <c r="E71" s="61"/>
      <c r="F71" s="61"/>
      <c r="G71" s="61"/>
      <c r="H71" s="61">
        <f t="shared" si="11"/>
        <v>700000</v>
      </c>
      <c r="I71" s="61">
        <v>0</v>
      </c>
      <c r="J71" s="61">
        <v>27525</v>
      </c>
      <c r="K71" s="61">
        <v>72475</v>
      </c>
      <c r="L71" s="61">
        <v>100000</v>
      </c>
      <c r="M71" s="61">
        <v>185000</v>
      </c>
      <c r="N71" s="61">
        <v>0</v>
      </c>
      <c r="O71" s="61">
        <f t="shared" si="12"/>
        <v>600000</v>
      </c>
      <c r="P71" s="62">
        <f t="shared" si="13"/>
        <v>10.353571428571428</v>
      </c>
      <c r="Q71" s="47"/>
    </row>
    <row r="72" spans="1:17" ht="36">
      <c r="A72" s="70"/>
      <c r="B72" s="57" t="s">
        <v>270</v>
      </c>
      <c r="C72" s="58">
        <v>20399</v>
      </c>
      <c r="D72" s="61">
        <v>600000</v>
      </c>
      <c r="E72" s="61"/>
      <c r="F72" s="61"/>
      <c r="G72" s="61"/>
      <c r="H72" s="61">
        <f t="shared" si="11"/>
        <v>600000</v>
      </c>
      <c r="I72" s="61">
        <v>0</v>
      </c>
      <c r="J72" s="61">
        <v>11940</v>
      </c>
      <c r="K72" s="61">
        <v>48060</v>
      </c>
      <c r="L72" s="61">
        <v>844.04</v>
      </c>
      <c r="M72" s="61">
        <v>500000</v>
      </c>
      <c r="N72" s="61">
        <v>424002</v>
      </c>
      <c r="O72" s="61">
        <f t="shared" si="12"/>
        <v>540000</v>
      </c>
      <c r="P72" s="62">
        <f t="shared" si="13"/>
        <v>8.01</v>
      </c>
      <c r="Q72" s="47"/>
    </row>
    <row r="73" spans="1:17" ht="18.75">
      <c r="A73" s="70"/>
      <c r="B73" s="57" t="s">
        <v>300</v>
      </c>
      <c r="C73" s="58">
        <v>20401</v>
      </c>
      <c r="D73" s="61">
        <v>1000000</v>
      </c>
      <c r="E73" s="61">
        <v>650000</v>
      </c>
      <c r="F73" s="61"/>
      <c r="G73" s="61"/>
      <c r="H73" s="61">
        <f t="shared" si="11"/>
        <v>1650000</v>
      </c>
      <c r="I73" s="61">
        <v>0</v>
      </c>
      <c r="J73" s="61">
        <v>591951</v>
      </c>
      <c r="K73" s="61">
        <v>43049</v>
      </c>
      <c r="L73" s="61">
        <v>2833.93</v>
      </c>
      <c r="M73" s="61">
        <v>165000</v>
      </c>
      <c r="N73" s="61">
        <v>161219.45</v>
      </c>
      <c r="O73" s="61">
        <f t="shared" si="12"/>
        <v>1015000</v>
      </c>
      <c r="P73" s="62">
        <f t="shared" si="13"/>
        <v>2.609030303030303</v>
      </c>
      <c r="Q73" s="47"/>
    </row>
    <row r="74" spans="1:17" ht="18.75">
      <c r="A74" s="70"/>
      <c r="B74" s="57" t="s">
        <v>271</v>
      </c>
      <c r="C74" s="58">
        <v>20402</v>
      </c>
      <c r="D74" s="61">
        <v>2000000</v>
      </c>
      <c r="E74" s="61"/>
      <c r="F74" s="61"/>
      <c r="G74" s="61"/>
      <c r="H74" s="61">
        <f t="shared" si="11"/>
        <v>2000000</v>
      </c>
      <c r="I74" s="61">
        <v>100000</v>
      </c>
      <c r="J74" s="61">
        <v>56601.81</v>
      </c>
      <c r="K74" s="61">
        <v>193398.19</v>
      </c>
      <c r="L74" s="61">
        <v>4228.58</v>
      </c>
      <c r="M74" s="61">
        <v>3000000</v>
      </c>
      <c r="N74" s="61">
        <v>752337.44</v>
      </c>
      <c r="O74" s="61">
        <f t="shared" si="12"/>
        <v>1650000</v>
      </c>
      <c r="P74" s="62">
        <f t="shared" si="13"/>
        <v>9.6699095</v>
      </c>
      <c r="Q74" s="47"/>
    </row>
    <row r="75" spans="1:17" ht="18.75">
      <c r="A75" s="70"/>
      <c r="B75" s="57" t="s">
        <v>272</v>
      </c>
      <c r="C75" s="58">
        <v>29901</v>
      </c>
      <c r="D75" s="61">
        <v>2000000</v>
      </c>
      <c r="E75" s="61"/>
      <c r="F75" s="61"/>
      <c r="G75" s="61"/>
      <c r="H75" s="61">
        <f t="shared" si="11"/>
        <v>2000000</v>
      </c>
      <c r="I75" s="61">
        <v>400000</v>
      </c>
      <c r="J75" s="61">
        <v>12330.78</v>
      </c>
      <c r="K75" s="61">
        <v>933174.93</v>
      </c>
      <c r="L75" s="61">
        <v>6117.4</v>
      </c>
      <c r="M75" s="61">
        <v>1450000</v>
      </c>
      <c r="N75" s="61">
        <v>0</v>
      </c>
      <c r="O75" s="61">
        <f t="shared" si="12"/>
        <v>654494.2899999999</v>
      </c>
      <c r="P75" s="62">
        <f t="shared" si="13"/>
        <v>46.65874650000001</v>
      </c>
      <c r="Q75" s="47"/>
    </row>
    <row r="76" spans="1:17" ht="18.75">
      <c r="A76" s="70"/>
      <c r="B76" s="57" t="s">
        <v>273</v>
      </c>
      <c r="C76" s="58">
        <v>29902</v>
      </c>
      <c r="D76" s="61">
        <v>350000</v>
      </c>
      <c r="E76" s="61"/>
      <c r="F76" s="61"/>
      <c r="G76" s="61"/>
      <c r="H76" s="61">
        <f t="shared" si="11"/>
        <v>350000</v>
      </c>
      <c r="I76" s="61">
        <v>0</v>
      </c>
      <c r="J76" s="61">
        <v>2849.88</v>
      </c>
      <c r="K76" s="61">
        <v>221743</v>
      </c>
      <c r="L76" s="61">
        <v>0</v>
      </c>
      <c r="M76" s="61">
        <v>275000</v>
      </c>
      <c r="N76" s="61">
        <v>275000</v>
      </c>
      <c r="O76" s="61">
        <f t="shared" si="12"/>
        <v>125407.12</v>
      </c>
      <c r="P76" s="62">
        <f t="shared" si="13"/>
        <v>63.35514285714285</v>
      </c>
      <c r="Q76" s="47"/>
    </row>
    <row r="77" spans="1:17" ht="18.75">
      <c r="A77" s="70"/>
      <c r="B77" s="57" t="s">
        <v>274</v>
      </c>
      <c r="C77" s="58">
        <v>29903</v>
      </c>
      <c r="D77" s="61">
        <v>7000000</v>
      </c>
      <c r="E77" s="61"/>
      <c r="F77" s="61"/>
      <c r="G77" s="61"/>
      <c r="H77" s="61">
        <f t="shared" si="11"/>
        <v>7000000</v>
      </c>
      <c r="I77" s="61">
        <v>0.1</v>
      </c>
      <c r="J77" s="61">
        <v>2258311.94</v>
      </c>
      <c r="K77" s="61">
        <v>4528433.94</v>
      </c>
      <c r="L77" s="61">
        <v>7900.22</v>
      </c>
      <c r="M77" s="61">
        <v>9690000</v>
      </c>
      <c r="N77" s="61">
        <v>5905506.12</v>
      </c>
      <c r="O77" s="61">
        <f t="shared" si="12"/>
        <v>213254.02000000048</v>
      </c>
      <c r="P77" s="62">
        <f t="shared" si="13"/>
        <v>64.69191342857144</v>
      </c>
      <c r="Q77" s="47"/>
    </row>
    <row r="78" spans="1:17" ht="18.75">
      <c r="A78" s="70"/>
      <c r="B78" s="57" t="s">
        <v>275</v>
      </c>
      <c r="C78" s="58">
        <v>29904</v>
      </c>
      <c r="D78" s="61">
        <v>1350000</v>
      </c>
      <c r="E78" s="61">
        <v>950000</v>
      </c>
      <c r="F78" s="61"/>
      <c r="G78" s="61"/>
      <c r="H78" s="61">
        <f t="shared" si="11"/>
        <v>2300000</v>
      </c>
      <c r="I78" s="61">
        <v>1041000</v>
      </c>
      <c r="J78" s="61">
        <v>1910</v>
      </c>
      <c r="K78" s="61">
        <v>665290</v>
      </c>
      <c r="L78" s="61">
        <v>153162.75</v>
      </c>
      <c r="M78" s="61">
        <v>500000</v>
      </c>
      <c r="N78" s="61">
        <v>430602.7</v>
      </c>
      <c r="O78" s="61">
        <f t="shared" si="12"/>
        <v>591800</v>
      </c>
      <c r="P78" s="62">
        <f t="shared" si="13"/>
        <v>28.92565217391304</v>
      </c>
      <c r="Q78" s="47"/>
    </row>
    <row r="79" spans="1:17" ht="18.75">
      <c r="A79" s="70"/>
      <c r="B79" s="57" t="s">
        <v>276</v>
      </c>
      <c r="C79" s="58">
        <v>29905</v>
      </c>
      <c r="D79" s="61">
        <v>1000000</v>
      </c>
      <c r="E79" s="61"/>
      <c r="F79" s="61"/>
      <c r="G79" s="61"/>
      <c r="H79" s="61">
        <f t="shared" si="11"/>
        <v>1000000</v>
      </c>
      <c r="I79" s="61">
        <v>468400</v>
      </c>
      <c r="J79" s="61">
        <v>498025</v>
      </c>
      <c r="K79" s="61">
        <v>33575</v>
      </c>
      <c r="L79" s="61">
        <v>20000</v>
      </c>
      <c r="M79" s="61">
        <v>1746000</v>
      </c>
      <c r="N79" s="61">
        <v>1595468.6</v>
      </c>
      <c r="O79" s="61">
        <f t="shared" si="12"/>
        <v>0</v>
      </c>
      <c r="P79" s="62">
        <f t="shared" si="13"/>
        <v>3.3575</v>
      </c>
      <c r="Q79" s="47"/>
    </row>
    <row r="80" spans="1:17" ht="18.75">
      <c r="A80" s="70"/>
      <c r="B80" s="57" t="s">
        <v>303</v>
      </c>
      <c r="C80" s="58">
        <v>29906</v>
      </c>
      <c r="D80" s="61">
        <v>200000</v>
      </c>
      <c r="E80" s="61"/>
      <c r="F80" s="61"/>
      <c r="G80" s="61"/>
      <c r="H80" s="61">
        <f t="shared" si="11"/>
        <v>200000</v>
      </c>
      <c r="I80" s="61">
        <v>0</v>
      </c>
      <c r="J80" s="61">
        <v>4462.5</v>
      </c>
      <c r="K80" s="61">
        <v>124637.5</v>
      </c>
      <c r="L80" s="61">
        <v>0</v>
      </c>
      <c r="M80" s="61"/>
      <c r="N80" s="61"/>
      <c r="O80" s="61">
        <f t="shared" si="12"/>
        <v>70900</v>
      </c>
      <c r="P80" s="62">
        <f t="shared" si="13"/>
        <v>62.31875</v>
      </c>
      <c r="Q80" s="47"/>
    </row>
    <row r="81" spans="1:17" ht="18.75">
      <c r="A81" s="70"/>
      <c r="B81" s="57" t="s">
        <v>277</v>
      </c>
      <c r="C81" s="58">
        <v>29907</v>
      </c>
      <c r="D81" s="61">
        <v>300000</v>
      </c>
      <c r="E81" s="61"/>
      <c r="F81" s="61"/>
      <c r="G81" s="61"/>
      <c r="H81" s="61">
        <f t="shared" si="11"/>
        <v>300000</v>
      </c>
      <c r="I81" s="61">
        <v>300000</v>
      </c>
      <c r="J81" s="61">
        <v>0</v>
      </c>
      <c r="K81" s="61">
        <v>0</v>
      </c>
      <c r="L81" s="61">
        <v>0</v>
      </c>
      <c r="M81" s="61">
        <v>100000</v>
      </c>
      <c r="N81" s="61">
        <v>95000</v>
      </c>
      <c r="O81" s="61">
        <f t="shared" si="12"/>
        <v>0</v>
      </c>
      <c r="P81" s="62">
        <f t="shared" si="13"/>
        <v>0</v>
      </c>
      <c r="Q81" s="47"/>
    </row>
    <row r="82" spans="1:17" ht="18.75">
      <c r="A82" s="71"/>
      <c r="B82" s="57" t="s">
        <v>278</v>
      </c>
      <c r="C82" s="58">
        <v>29999</v>
      </c>
      <c r="D82" s="61">
        <v>200000</v>
      </c>
      <c r="E82" s="61"/>
      <c r="F82" s="61"/>
      <c r="G82" s="61"/>
      <c r="H82" s="61">
        <f t="shared" si="11"/>
        <v>200000</v>
      </c>
      <c r="I82" s="61">
        <v>0</v>
      </c>
      <c r="J82" s="61">
        <v>26010</v>
      </c>
      <c r="K82" s="61">
        <v>68990</v>
      </c>
      <c r="L82" s="61">
        <v>600103.02</v>
      </c>
      <c r="M82" s="61">
        <v>165000</v>
      </c>
      <c r="N82" s="61">
        <v>165000</v>
      </c>
      <c r="O82" s="61">
        <f t="shared" si="12"/>
        <v>105000</v>
      </c>
      <c r="P82" s="62">
        <f t="shared" si="13"/>
        <v>34.495</v>
      </c>
      <c r="Q82" s="47"/>
    </row>
    <row r="83" spans="1:17" ht="18.75">
      <c r="A83" s="70"/>
      <c r="B83" s="76" t="s">
        <v>279</v>
      </c>
      <c r="C83" s="77"/>
      <c r="D83" s="78">
        <f>SUM(D60:D82)</f>
        <v>46400000</v>
      </c>
      <c r="E83" s="78">
        <f>SUM(E60:E82)</f>
        <v>2100000</v>
      </c>
      <c r="F83" s="78">
        <f>SUM(F60:F82)</f>
        <v>0</v>
      </c>
      <c r="G83" s="78"/>
      <c r="H83" s="78">
        <f aca="true" t="shared" si="14" ref="H83:O83">SUM(H60:H82)</f>
        <v>48500000</v>
      </c>
      <c r="I83" s="78">
        <f t="shared" si="14"/>
        <v>2701850.1</v>
      </c>
      <c r="J83" s="78">
        <f t="shared" si="14"/>
        <v>4721305.21</v>
      </c>
      <c r="K83" s="78">
        <f>SUM(K60:K82)</f>
        <v>18419496.88</v>
      </c>
      <c r="L83" s="78">
        <f t="shared" si="14"/>
        <v>2828104.25</v>
      </c>
      <c r="M83" s="78">
        <f t="shared" si="14"/>
        <v>34459590</v>
      </c>
      <c r="N83" s="78">
        <f t="shared" si="14"/>
        <v>19776040.63</v>
      </c>
      <c r="O83" s="78">
        <f t="shared" si="14"/>
        <v>22657347.810000002</v>
      </c>
      <c r="P83" s="68">
        <f>+K83/H83*100</f>
        <v>37.97834408247422</v>
      </c>
      <c r="Q83" s="47"/>
    </row>
    <row r="84" spans="1:17" ht="18.75">
      <c r="A84" s="70"/>
      <c r="B84" s="79" t="s">
        <v>280</v>
      </c>
      <c r="C84" s="58">
        <v>50102</v>
      </c>
      <c r="D84" s="61">
        <v>50000000</v>
      </c>
      <c r="E84" s="61">
        <v>5000000</v>
      </c>
      <c r="F84" s="61"/>
      <c r="G84" s="61"/>
      <c r="H84" s="61">
        <f>+D84+E84+F84+G84</f>
        <v>55000000</v>
      </c>
      <c r="I84" s="61">
        <f>24791084+5000000</f>
        <v>29791084</v>
      </c>
      <c r="J84" s="61">
        <v>25208916</v>
      </c>
      <c r="K84" s="61"/>
      <c r="L84" s="61"/>
      <c r="M84" s="61"/>
      <c r="N84" s="61"/>
      <c r="O84" s="61">
        <f>+H84-I84-J84-K84</f>
        <v>0</v>
      </c>
      <c r="P84" s="62" t="s">
        <v>207</v>
      </c>
      <c r="Q84" s="47"/>
    </row>
    <row r="85" spans="1:17" ht="16.5" customHeight="1">
      <c r="A85" s="70"/>
      <c r="B85" s="79" t="s">
        <v>281</v>
      </c>
      <c r="C85" s="58">
        <v>50103</v>
      </c>
      <c r="D85" s="61">
        <v>2000000</v>
      </c>
      <c r="E85" s="61">
        <v>500000</v>
      </c>
      <c r="F85" s="61">
        <v>500000</v>
      </c>
      <c r="G85" s="61"/>
      <c r="H85" s="61">
        <f aca="true" t="shared" si="15" ref="H85:H92">+D85+E85+F85+G85</f>
        <v>3000000</v>
      </c>
      <c r="I85" s="61">
        <v>400000</v>
      </c>
      <c r="J85" s="61">
        <v>0</v>
      </c>
      <c r="K85" s="61">
        <v>30500.21</v>
      </c>
      <c r="L85" s="61">
        <v>301341.48</v>
      </c>
      <c r="M85" s="61"/>
      <c r="N85" s="61"/>
      <c r="O85" s="61">
        <f aca="true" t="shared" si="16" ref="O85:O92">+H85-I85-J85-K85</f>
        <v>2569499.79</v>
      </c>
      <c r="P85" s="62">
        <f>+K85/H85*100</f>
        <v>1.0166736666666667</v>
      </c>
      <c r="Q85" s="47"/>
    </row>
    <row r="86" spans="1:17" ht="16.5" customHeight="1">
      <c r="A86" s="70"/>
      <c r="B86" s="79" t="s">
        <v>283</v>
      </c>
      <c r="C86" s="58">
        <v>50104</v>
      </c>
      <c r="D86" s="61">
        <v>25500000</v>
      </c>
      <c r="E86" s="61"/>
      <c r="F86" s="61">
        <v>1000000</v>
      </c>
      <c r="G86" s="61">
        <v>11500000</v>
      </c>
      <c r="H86" s="61">
        <f t="shared" si="15"/>
        <v>38000000</v>
      </c>
      <c r="I86" s="61">
        <f>18448031.71+9000000</f>
        <v>27448031.71</v>
      </c>
      <c r="J86" s="61">
        <v>6367261.09</v>
      </c>
      <c r="K86" s="61">
        <v>604815</v>
      </c>
      <c r="L86" s="61">
        <v>88239.65</v>
      </c>
      <c r="M86" s="61"/>
      <c r="N86" s="61"/>
      <c r="O86" s="61">
        <f t="shared" si="16"/>
        <v>3579892.1999999993</v>
      </c>
      <c r="P86" s="62">
        <f aca="true" t="shared" si="17" ref="P86:P92">+K86/H86*100</f>
        <v>1.5916184210526314</v>
      </c>
      <c r="Q86" s="47"/>
    </row>
    <row r="87" spans="1:17" ht="37.5">
      <c r="A87" s="80" t="s">
        <v>282</v>
      </c>
      <c r="B87" s="79" t="s">
        <v>284</v>
      </c>
      <c r="C87" s="58">
        <v>50105</v>
      </c>
      <c r="D87" s="61">
        <v>55200000</v>
      </c>
      <c r="E87" s="61"/>
      <c r="F87" s="61">
        <v>2000000</v>
      </c>
      <c r="G87" s="61">
        <v>49189534.15</v>
      </c>
      <c r="H87" s="61">
        <f t="shared" si="15"/>
        <v>106389534.15</v>
      </c>
      <c r="I87" s="61">
        <v>43189534</v>
      </c>
      <c r="J87" s="61">
        <v>42779774.06</v>
      </c>
      <c r="K87" s="61">
        <v>7315571.55</v>
      </c>
      <c r="L87" s="61">
        <v>519994.06</v>
      </c>
      <c r="M87" s="61">
        <v>15000000</v>
      </c>
      <c r="N87" s="61">
        <v>14900000</v>
      </c>
      <c r="O87" s="61">
        <f t="shared" si="16"/>
        <v>13104654.540000003</v>
      </c>
      <c r="P87" s="62">
        <f t="shared" si="17"/>
        <v>6.8762135377768265</v>
      </c>
      <c r="Q87" s="47"/>
    </row>
    <row r="88" spans="1:17" ht="28.5" customHeight="1">
      <c r="A88" s="81"/>
      <c r="B88" s="79" t="s">
        <v>285</v>
      </c>
      <c r="C88" s="58">
        <v>50106</v>
      </c>
      <c r="D88" s="61">
        <v>500000</v>
      </c>
      <c r="E88" s="61"/>
      <c r="F88" s="61"/>
      <c r="G88" s="61"/>
      <c r="H88" s="61">
        <f t="shared" si="15"/>
        <v>500000</v>
      </c>
      <c r="I88" s="61">
        <v>0</v>
      </c>
      <c r="J88" s="61">
        <v>0</v>
      </c>
      <c r="K88" s="61">
        <v>0</v>
      </c>
      <c r="L88" s="61">
        <v>340990.7</v>
      </c>
      <c r="M88" s="61">
        <v>12000000</v>
      </c>
      <c r="N88" s="61">
        <v>11650000</v>
      </c>
      <c r="O88" s="61">
        <f t="shared" si="16"/>
        <v>500000</v>
      </c>
      <c r="P88" s="62">
        <f t="shared" si="17"/>
        <v>0</v>
      </c>
      <c r="Q88" s="47"/>
    </row>
    <row r="89" spans="1:17" ht="25.5" customHeight="1">
      <c r="A89" s="81"/>
      <c r="B89" s="79" t="s">
        <v>301</v>
      </c>
      <c r="C89" s="58">
        <v>50199</v>
      </c>
      <c r="D89" s="61">
        <v>3351000</v>
      </c>
      <c r="E89" s="61"/>
      <c r="F89" s="61"/>
      <c r="G89" s="61"/>
      <c r="H89" s="61">
        <f t="shared" si="15"/>
        <v>3351000</v>
      </c>
      <c r="I89" s="61">
        <v>1275000</v>
      </c>
      <c r="J89" s="61">
        <v>0</v>
      </c>
      <c r="K89" s="61">
        <v>0</v>
      </c>
      <c r="L89" s="61">
        <v>432044.64</v>
      </c>
      <c r="M89" s="61"/>
      <c r="N89" s="61"/>
      <c r="O89" s="61">
        <f t="shared" si="16"/>
        <v>2076000</v>
      </c>
      <c r="P89" s="62">
        <f t="shared" si="17"/>
        <v>0</v>
      </c>
      <c r="Q89" s="47"/>
    </row>
    <row r="90" spans="1:17" ht="25.5" customHeight="1">
      <c r="A90" s="81"/>
      <c r="B90" s="79" t="s">
        <v>309</v>
      </c>
      <c r="C90" s="58">
        <v>50201</v>
      </c>
      <c r="D90" s="61">
        <v>30000000</v>
      </c>
      <c r="E90" s="61"/>
      <c r="F90" s="61"/>
      <c r="G90" s="61"/>
      <c r="H90" s="61">
        <f t="shared" si="15"/>
        <v>30000000</v>
      </c>
      <c r="I90" s="61">
        <v>30000000</v>
      </c>
      <c r="J90" s="61"/>
      <c r="K90" s="61"/>
      <c r="L90" s="61"/>
      <c r="M90" s="61"/>
      <c r="N90" s="61"/>
      <c r="O90" s="61">
        <f t="shared" si="16"/>
        <v>0</v>
      </c>
      <c r="P90" s="62">
        <f t="shared" si="17"/>
        <v>0</v>
      </c>
      <c r="Q90" s="47"/>
    </row>
    <row r="91" spans="1:17" ht="25.5" customHeight="1">
      <c r="A91" s="81"/>
      <c r="B91" s="79" t="s">
        <v>477</v>
      </c>
      <c r="C91" s="58">
        <v>50207</v>
      </c>
      <c r="D91" s="61">
        <v>45000000</v>
      </c>
      <c r="E91" s="61"/>
      <c r="F91" s="61"/>
      <c r="G91" s="61"/>
      <c r="H91" s="61">
        <f t="shared" si="15"/>
        <v>45000000</v>
      </c>
      <c r="I91" s="61">
        <v>1464823.04</v>
      </c>
      <c r="J91" s="61">
        <v>43535176.96</v>
      </c>
      <c r="K91" s="61"/>
      <c r="L91" s="61"/>
      <c r="M91" s="61"/>
      <c r="N91" s="61"/>
      <c r="O91" s="61">
        <f t="shared" si="16"/>
        <v>0</v>
      </c>
      <c r="P91" s="62"/>
      <c r="Q91" s="47"/>
    </row>
    <row r="92" spans="1:17" ht="29.25" customHeight="1">
      <c r="A92" s="82"/>
      <c r="B92" s="79" t="s">
        <v>286</v>
      </c>
      <c r="C92" s="58">
        <v>59903</v>
      </c>
      <c r="D92" s="61">
        <v>7000000</v>
      </c>
      <c r="E92" s="61"/>
      <c r="F92" s="61"/>
      <c r="G92" s="61"/>
      <c r="H92" s="61">
        <f t="shared" si="15"/>
        <v>7000000</v>
      </c>
      <c r="I92" s="61">
        <v>7000000</v>
      </c>
      <c r="J92" s="61">
        <v>0</v>
      </c>
      <c r="K92" s="61">
        <v>0</v>
      </c>
      <c r="L92" s="61">
        <v>1000</v>
      </c>
      <c r="M92" s="61">
        <v>12000000</v>
      </c>
      <c r="N92" s="61">
        <v>12000000</v>
      </c>
      <c r="O92" s="61">
        <f t="shared" si="16"/>
        <v>0</v>
      </c>
      <c r="P92" s="62">
        <f t="shared" si="17"/>
        <v>0</v>
      </c>
      <c r="Q92" s="47"/>
    </row>
    <row r="93" spans="1:17" ht="18.75">
      <c r="A93" s="81"/>
      <c r="B93" s="83" t="s">
        <v>287</v>
      </c>
      <c r="C93" s="84"/>
      <c r="D93" s="85">
        <f>SUM(D84:D92)</f>
        <v>218551000</v>
      </c>
      <c r="E93" s="85">
        <f>SUM(E84:E92)</f>
        <v>5500000</v>
      </c>
      <c r="F93" s="85">
        <f>SUM(F84:F92)</f>
        <v>3500000</v>
      </c>
      <c r="G93" s="85">
        <f>SUM(G84:G92)</f>
        <v>60689534.15</v>
      </c>
      <c r="H93" s="85">
        <f aca="true" t="shared" si="18" ref="H93:O93">SUM(H84:H92)</f>
        <v>288240534.15</v>
      </c>
      <c r="I93" s="85">
        <f t="shared" si="18"/>
        <v>140568472.75</v>
      </c>
      <c r="J93" s="85">
        <f t="shared" si="18"/>
        <v>117891128.11000001</v>
      </c>
      <c r="K93" s="85">
        <f t="shared" si="18"/>
        <v>7950886.76</v>
      </c>
      <c r="L93" s="85">
        <f t="shared" si="18"/>
        <v>1683610.5299999998</v>
      </c>
      <c r="M93" s="85">
        <f t="shared" si="18"/>
        <v>39000000</v>
      </c>
      <c r="N93" s="85">
        <f t="shared" si="18"/>
        <v>38550000</v>
      </c>
      <c r="O93" s="85">
        <f t="shared" si="18"/>
        <v>21830046.53</v>
      </c>
      <c r="P93" s="68">
        <f>+K93/H93*100</f>
        <v>2.758420769461373</v>
      </c>
      <c r="Q93" s="47"/>
    </row>
    <row r="94" spans="1:17" ht="36">
      <c r="A94" s="80" t="s">
        <v>288</v>
      </c>
      <c r="B94" s="57" t="s">
        <v>289</v>
      </c>
      <c r="C94" s="58">
        <v>60103</v>
      </c>
      <c r="D94" s="61">
        <v>23133000</v>
      </c>
      <c r="E94" s="61"/>
      <c r="F94" s="61">
        <v>10000000</v>
      </c>
      <c r="G94" s="61">
        <v>10000000</v>
      </c>
      <c r="H94" s="61">
        <f>+D94+E94+F94+G94</f>
        <v>43133000</v>
      </c>
      <c r="I94" s="61">
        <v>0</v>
      </c>
      <c r="J94" s="61">
        <v>7771998.55</v>
      </c>
      <c r="K94" s="61">
        <v>25361001.45</v>
      </c>
      <c r="L94" s="61">
        <v>0</v>
      </c>
      <c r="M94" s="61"/>
      <c r="N94" s="61"/>
      <c r="O94" s="61">
        <f>+H94-I94-J94-K94</f>
        <v>10000000.000000004</v>
      </c>
      <c r="P94" s="62">
        <f>+K94/H94*100</f>
        <v>58.79721199545591</v>
      </c>
      <c r="Q94" s="47"/>
    </row>
    <row r="95" spans="1:17" ht="36">
      <c r="A95" s="81"/>
      <c r="B95" s="57" t="s">
        <v>290</v>
      </c>
      <c r="C95" s="58">
        <v>60103</v>
      </c>
      <c r="D95" s="61">
        <v>9971000</v>
      </c>
      <c r="E95" s="61"/>
      <c r="F95" s="61"/>
      <c r="G95" s="61"/>
      <c r="H95" s="61">
        <f aca="true" t="shared" si="19" ref="H95:H102">+D95+E95+F95+G95</f>
        <v>9971000</v>
      </c>
      <c r="I95" s="61">
        <v>0</v>
      </c>
      <c r="J95" s="61">
        <v>5191028.95</v>
      </c>
      <c r="K95" s="61">
        <v>4779971.05</v>
      </c>
      <c r="L95" s="61">
        <v>0</v>
      </c>
      <c r="M95" s="61"/>
      <c r="N95" s="61"/>
      <c r="O95" s="61">
        <f aca="true" t="shared" si="20" ref="O95:O102">+H95-I95-J95-K95</f>
        <v>0</v>
      </c>
      <c r="P95" s="62">
        <f aca="true" t="shared" si="21" ref="P95:P102">+K95/H95*100</f>
        <v>47.93873282519306</v>
      </c>
      <c r="Q95" s="47"/>
    </row>
    <row r="96" spans="1:17" ht="18.75">
      <c r="A96" s="81"/>
      <c r="B96" s="57" t="s">
        <v>291</v>
      </c>
      <c r="C96" s="58">
        <v>60103</v>
      </c>
      <c r="D96" s="61">
        <v>11589000</v>
      </c>
      <c r="E96" s="61"/>
      <c r="F96" s="61"/>
      <c r="G96" s="61"/>
      <c r="H96" s="61">
        <f t="shared" si="19"/>
        <v>11589000</v>
      </c>
      <c r="I96" s="61">
        <v>0</v>
      </c>
      <c r="J96" s="61">
        <v>330.07</v>
      </c>
      <c r="K96" s="61">
        <v>11588669.93</v>
      </c>
      <c r="L96" s="61">
        <v>0</v>
      </c>
      <c r="M96" s="61"/>
      <c r="N96" s="61"/>
      <c r="O96" s="61">
        <f t="shared" si="20"/>
        <v>0</v>
      </c>
      <c r="P96" s="62">
        <f t="shared" si="21"/>
        <v>99.99715186815084</v>
      </c>
      <c r="Q96" s="47"/>
    </row>
    <row r="97" spans="1:17" ht="18.75">
      <c r="A97" s="81"/>
      <c r="B97" s="57" t="s">
        <v>292</v>
      </c>
      <c r="C97" s="58">
        <v>60103</v>
      </c>
      <c r="D97" s="61">
        <v>5500000</v>
      </c>
      <c r="E97" s="61"/>
      <c r="F97" s="61"/>
      <c r="G97" s="61"/>
      <c r="H97" s="61">
        <f t="shared" si="19"/>
        <v>5500000</v>
      </c>
      <c r="I97" s="61">
        <v>0</v>
      </c>
      <c r="J97" s="61">
        <v>0</v>
      </c>
      <c r="K97" s="61">
        <v>0</v>
      </c>
      <c r="L97" s="61">
        <v>0</v>
      </c>
      <c r="M97" s="61"/>
      <c r="N97" s="61"/>
      <c r="O97" s="61">
        <f t="shared" si="20"/>
        <v>5500000</v>
      </c>
      <c r="P97" s="62">
        <f t="shared" si="21"/>
        <v>0</v>
      </c>
      <c r="Q97" s="47"/>
    </row>
    <row r="98" spans="1:17" ht="18.75">
      <c r="A98" s="81"/>
      <c r="B98" s="57" t="s">
        <v>293</v>
      </c>
      <c r="C98" s="58">
        <v>60202</v>
      </c>
      <c r="D98" s="61">
        <v>500000</v>
      </c>
      <c r="E98" s="61"/>
      <c r="F98" s="61">
        <v>700000</v>
      </c>
      <c r="G98" s="61"/>
      <c r="H98" s="61">
        <f t="shared" si="19"/>
        <v>1200000</v>
      </c>
      <c r="I98" s="61">
        <v>0</v>
      </c>
      <c r="J98" s="61">
        <v>0</v>
      </c>
      <c r="K98" s="61">
        <v>0</v>
      </c>
      <c r="L98" s="61">
        <v>0</v>
      </c>
      <c r="M98" s="61"/>
      <c r="N98" s="61"/>
      <c r="O98" s="61">
        <f t="shared" si="20"/>
        <v>1200000</v>
      </c>
      <c r="P98" s="62">
        <f t="shared" si="21"/>
        <v>0</v>
      </c>
      <c r="Q98" s="47"/>
    </row>
    <row r="99" spans="1:17" ht="18.75">
      <c r="A99" s="81"/>
      <c r="B99" s="57" t="s">
        <v>294</v>
      </c>
      <c r="C99" s="58">
        <v>60301</v>
      </c>
      <c r="D99" s="61">
        <v>18000000</v>
      </c>
      <c r="E99" s="61">
        <v>8276186.93</v>
      </c>
      <c r="F99" s="61"/>
      <c r="G99" s="61"/>
      <c r="H99" s="61">
        <f t="shared" si="19"/>
        <v>26276186.93</v>
      </c>
      <c r="I99" s="61">
        <v>0</v>
      </c>
      <c r="J99" s="61">
        <v>0</v>
      </c>
      <c r="K99" s="61">
        <v>6908692.03</v>
      </c>
      <c r="L99" s="61">
        <v>4894116.39</v>
      </c>
      <c r="M99" s="61"/>
      <c r="N99" s="61"/>
      <c r="O99" s="61">
        <f t="shared" si="20"/>
        <v>19367494.9</v>
      </c>
      <c r="P99" s="62">
        <f t="shared" si="21"/>
        <v>26.292597355943688</v>
      </c>
      <c r="Q99" s="47"/>
    </row>
    <row r="100" spans="1:17" ht="18.75">
      <c r="A100" s="82"/>
      <c r="B100" s="57" t="s">
        <v>295</v>
      </c>
      <c r="C100" s="58">
        <v>60399</v>
      </c>
      <c r="D100" s="61">
        <v>17000000</v>
      </c>
      <c r="E100" s="61"/>
      <c r="F100" s="61"/>
      <c r="G100" s="61">
        <v>10000000</v>
      </c>
      <c r="H100" s="61">
        <f t="shared" si="19"/>
        <v>27000000</v>
      </c>
      <c r="I100" s="61">
        <v>0</v>
      </c>
      <c r="J100" s="61">
        <v>4001165</v>
      </c>
      <c r="K100" s="61">
        <v>12998835</v>
      </c>
      <c r="L100" s="61">
        <v>0</v>
      </c>
      <c r="M100" s="61"/>
      <c r="N100" s="61"/>
      <c r="O100" s="61">
        <f t="shared" si="20"/>
        <v>10000000</v>
      </c>
      <c r="P100" s="62">
        <f t="shared" si="21"/>
        <v>48.14383333333333</v>
      </c>
      <c r="Q100" s="47"/>
    </row>
    <row r="101" spans="1:17" ht="18.75">
      <c r="A101" s="82"/>
      <c r="B101" s="57" t="s">
        <v>296</v>
      </c>
      <c r="C101" s="58">
        <v>60601</v>
      </c>
      <c r="D101" s="61">
        <v>500000</v>
      </c>
      <c r="E101" s="61"/>
      <c r="F101" s="61"/>
      <c r="G101" s="61"/>
      <c r="H101" s="61">
        <f t="shared" si="19"/>
        <v>500000</v>
      </c>
      <c r="I101" s="61">
        <v>0</v>
      </c>
      <c r="J101" s="61">
        <v>0</v>
      </c>
      <c r="K101" s="61">
        <v>0</v>
      </c>
      <c r="L101" s="61">
        <v>1500000</v>
      </c>
      <c r="M101" s="61"/>
      <c r="N101" s="61"/>
      <c r="O101" s="61">
        <f t="shared" si="20"/>
        <v>500000</v>
      </c>
      <c r="P101" s="62">
        <f t="shared" si="21"/>
        <v>0</v>
      </c>
      <c r="Q101" s="47"/>
    </row>
    <row r="102" spans="1:17" ht="19.5" thickBot="1">
      <c r="A102" s="82"/>
      <c r="B102" s="57" t="s">
        <v>307</v>
      </c>
      <c r="C102" s="58">
        <v>60701</v>
      </c>
      <c r="D102" s="61">
        <v>3000000</v>
      </c>
      <c r="E102" s="61"/>
      <c r="F102" s="61"/>
      <c r="G102" s="61">
        <v>-189534.15</v>
      </c>
      <c r="H102" s="61">
        <f t="shared" si="19"/>
        <v>2810465.85</v>
      </c>
      <c r="I102" s="61">
        <v>0</v>
      </c>
      <c r="J102" s="61"/>
      <c r="K102" s="61">
        <v>2810465.85</v>
      </c>
      <c r="L102" s="61"/>
      <c r="M102" s="61"/>
      <c r="N102" s="61"/>
      <c r="O102" s="61">
        <f t="shared" si="20"/>
        <v>0</v>
      </c>
      <c r="P102" s="62">
        <f t="shared" si="21"/>
        <v>100</v>
      </c>
      <c r="Q102" s="47"/>
    </row>
    <row r="103" spans="1:17" ht="19.5" thickBot="1">
      <c r="A103" s="82"/>
      <c r="B103" s="86" t="s">
        <v>297</v>
      </c>
      <c r="C103" s="87"/>
      <c r="D103" s="88">
        <f>SUM(D94:D102)</f>
        <v>89193000</v>
      </c>
      <c r="E103" s="88">
        <f>SUM(E94:E102)</f>
        <v>8276186.93</v>
      </c>
      <c r="F103" s="88">
        <f>SUM(F94:F102)</f>
        <v>10700000</v>
      </c>
      <c r="G103" s="88">
        <f>SUM(G94:G102)</f>
        <v>19810465.85</v>
      </c>
      <c r="H103" s="88">
        <f aca="true" t="shared" si="22" ref="H103:O103">SUM(H94:H102)</f>
        <v>127979652.78</v>
      </c>
      <c r="I103" s="88">
        <f t="shared" si="22"/>
        <v>0</v>
      </c>
      <c r="J103" s="88">
        <f t="shared" si="22"/>
        <v>16964522.57</v>
      </c>
      <c r="K103" s="88">
        <f>SUM(K94:K102)</f>
        <v>64447635.31</v>
      </c>
      <c r="L103" s="88">
        <f t="shared" si="22"/>
        <v>6394116.39</v>
      </c>
      <c r="M103" s="88">
        <f t="shared" si="22"/>
        <v>0</v>
      </c>
      <c r="N103" s="88">
        <f t="shared" si="22"/>
        <v>0</v>
      </c>
      <c r="O103" s="88">
        <f t="shared" si="22"/>
        <v>46567494.900000006</v>
      </c>
      <c r="P103" s="89">
        <f>+K103/H103*100</f>
        <v>50.35772008288457</v>
      </c>
      <c r="Q103" s="47"/>
    </row>
    <row r="104" spans="1:17" ht="18">
      <c r="A104" s="90"/>
      <c r="B104" s="90"/>
      <c r="C104" s="58"/>
      <c r="D104" s="91">
        <f aca="true" t="shared" si="23" ref="D104:O104">+D103+D93+D83+D59+D20</f>
        <v>6134000000</v>
      </c>
      <c r="E104" s="91">
        <f>+E20+E59+E83+E93+E103</f>
        <v>0</v>
      </c>
      <c r="F104" s="91">
        <f>+F20+F59+F83+F93+F103</f>
        <v>0</v>
      </c>
      <c r="G104" s="91">
        <f>+G20+G59+G83+G93+G103</f>
        <v>0</v>
      </c>
      <c r="H104" s="91">
        <f t="shared" si="23"/>
        <v>6134000000</v>
      </c>
      <c r="I104" s="91">
        <f t="shared" si="23"/>
        <v>185072481.78</v>
      </c>
      <c r="J104" s="91">
        <f t="shared" si="23"/>
        <v>2342469158.3799996</v>
      </c>
      <c r="K104" s="91">
        <f t="shared" si="23"/>
        <v>2978223109.82</v>
      </c>
      <c r="L104" s="91">
        <f t="shared" si="23"/>
        <v>1881055936.98</v>
      </c>
      <c r="M104" s="91">
        <f t="shared" si="23"/>
        <v>2030357470.3799999</v>
      </c>
      <c r="N104" s="91">
        <f t="shared" si="23"/>
        <v>2989452943.49</v>
      </c>
      <c r="O104" s="91">
        <f t="shared" si="23"/>
        <v>628235250.02</v>
      </c>
      <c r="P104" s="92"/>
      <c r="Q104" s="47"/>
    </row>
    <row r="105" spans="1:17" ht="18">
      <c r="A105" s="92"/>
      <c r="B105" s="92"/>
      <c r="C105" s="93"/>
      <c r="D105" s="92"/>
      <c r="E105" s="92"/>
      <c r="F105" s="92"/>
      <c r="G105" s="92"/>
      <c r="H105" s="92"/>
      <c r="I105" s="72" t="s">
        <v>207</v>
      </c>
      <c r="J105" s="92"/>
      <c r="K105" s="92"/>
      <c r="L105" s="92"/>
      <c r="M105" s="92"/>
      <c r="N105" s="92"/>
      <c r="O105" s="92"/>
      <c r="P105" s="92"/>
      <c r="Q105" s="47"/>
    </row>
    <row r="106" spans="1:17" ht="18.75" thickBot="1">
      <c r="A106" s="92"/>
      <c r="B106" s="92"/>
      <c r="C106" s="93"/>
      <c r="D106" s="92"/>
      <c r="E106" s="92"/>
      <c r="F106" s="92"/>
      <c r="G106" s="92"/>
      <c r="H106" s="62" t="s">
        <v>207</v>
      </c>
      <c r="I106" s="62" t="s">
        <v>207</v>
      </c>
      <c r="J106" s="92"/>
      <c r="K106" s="92" t="s">
        <v>207</v>
      </c>
      <c r="L106" s="92"/>
      <c r="M106" s="92"/>
      <c r="N106" s="92"/>
      <c r="O106" s="92"/>
      <c r="P106" s="92" t="s">
        <v>207</v>
      </c>
      <c r="Q106" s="47"/>
    </row>
    <row r="107" spans="1:17" ht="19.5" thickBot="1">
      <c r="A107" s="94" t="s">
        <v>4</v>
      </c>
      <c r="B107" s="92"/>
      <c r="C107" s="93"/>
      <c r="D107" s="62" t="s">
        <v>207</v>
      </c>
      <c r="E107" s="62"/>
      <c r="F107" s="62"/>
      <c r="G107" s="62"/>
      <c r="H107" s="62"/>
      <c r="I107" s="92"/>
      <c r="J107" s="95">
        <f>+K104</f>
        <v>2978223109.82</v>
      </c>
      <c r="K107" s="62" t="s">
        <v>207</v>
      </c>
      <c r="L107" s="92"/>
      <c r="M107" s="92"/>
      <c r="N107" s="92"/>
      <c r="O107" s="92" t="s">
        <v>298</v>
      </c>
      <c r="P107" s="96">
        <f>+J107/H104*100</f>
        <v>48.55270801793284</v>
      </c>
      <c r="Q107" s="47"/>
    </row>
    <row r="108" spans="1:17" ht="18.75">
      <c r="A108" s="97"/>
      <c r="B108" s="97"/>
      <c r="C108" s="98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 t="s">
        <v>207</v>
      </c>
      <c r="P108" s="97"/>
      <c r="Q108" s="47"/>
    </row>
    <row r="109" spans="1:17" ht="15.75">
      <c r="A109" s="47"/>
      <c r="B109" s="47"/>
      <c r="C109" s="52"/>
      <c r="D109" s="47"/>
      <c r="E109" s="47"/>
      <c r="F109" s="47"/>
      <c r="G109" s="47"/>
      <c r="H109" s="49" t="s">
        <v>207</v>
      </c>
      <c r="I109" s="49" t="s">
        <v>207</v>
      </c>
      <c r="J109" s="47"/>
      <c r="K109" s="50" t="s">
        <v>207</v>
      </c>
      <c r="L109" s="47"/>
      <c r="M109" s="47"/>
      <c r="N109" s="47"/>
      <c r="O109" s="50" t="s">
        <v>207</v>
      </c>
      <c r="P109" s="50" t="s">
        <v>207</v>
      </c>
      <c r="Q109" s="47"/>
    </row>
    <row r="110" spans="1:17" ht="15.75">
      <c r="A110" s="47"/>
      <c r="B110" s="47"/>
      <c r="C110" s="52"/>
      <c r="D110" s="47"/>
      <c r="E110" s="47"/>
      <c r="F110" s="47"/>
      <c r="G110" s="47"/>
      <c r="H110" s="47"/>
      <c r="I110" s="47" t="s">
        <v>207</v>
      </c>
      <c r="J110" s="49" t="s">
        <v>207</v>
      </c>
      <c r="K110" s="49" t="s">
        <v>207</v>
      </c>
      <c r="L110" s="47"/>
      <c r="M110" s="47"/>
      <c r="N110" s="47"/>
      <c r="O110" s="50" t="s">
        <v>207</v>
      </c>
      <c r="P110" s="50" t="s">
        <v>207</v>
      </c>
      <c r="Q110" s="47"/>
    </row>
    <row r="111" spans="1:17" ht="15.75">
      <c r="A111" s="47"/>
      <c r="B111" s="47"/>
      <c r="C111" s="52"/>
      <c r="D111" s="49" t="s">
        <v>207</v>
      </c>
      <c r="E111" s="49" t="s">
        <v>207</v>
      </c>
      <c r="F111" s="49"/>
      <c r="G111" s="49"/>
      <c r="H111" s="49" t="s">
        <v>207</v>
      </c>
      <c r="I111" s="49" t="s">
        <v>207</v>
      </c>
      <c r="J111" s="49" t="s">
        <v>207</v>
      </c>
      <c r="K111" s="49" t="s">
        <v>207</v>
      </c>
      <c r="L111" s="49">
        <v>450846273.2600001</v>
      </c>
      <c r="M111" s="47"/>
      <c r="N111" s="47"/>
      <c r="O111" s="50" t="s">
        <v>207</v>
      </c>
      <c r="P111" s="49" t="s">
        <v>207</v>
      </c>
      <c r="Q111" s="47"/>
    </row>
    <row r="112" spans="1:17" ht="15.75">
      <c r="A112" s="47"/>
      <c r="B112" s="47"/>
      <c r="C112" s="52"/>
      <c r="D112" s="47"/>
      <c r="E112" s="47"/>
      <c r="F112" s="47"/>
      <c r="G112" s="47"/>
      <c r="H112" s="47"/>
      <c r="I112" s="47" t="s">
        <v>207</v>
      </c>
      <c r="J112" s="50" t="s">
        <v>207</v>
      </c>
      <c r="K112" s="50" t="s">
        <v>207</v>
      </c>
      <c r="L112" s="47"/>
      <c r="M112" s="47"/>
      <c r="N112" s="47"/>
      <c r="O112" s="50" t="s">
        <v>207</v>
      </c>
      <c r="P112" s="49" t="s">
        <v>207</v>
      </c>
      <c r="Q112" s="47"/>
    </row>
    <row r="113" spans="1:17" ht="15.75">
      <c r="A113" s="47"/>
      <c r="B113" s="47"/>
      <c r="C113" s="52"/>
      <c r="D113" s="47"/>
      <c r="E113" s="47"/>
      <c r="F113" s="47"/>
      <c r="G113" s="47"/>
      <c r="H113" s="47"/>
      <c r="I113" s="47"/>
      <c r="J113" s="50" t="s">
        <v>207</v>
      </c>
      <c r="K113" s="50" t="s">
        <v>207</v>
      </c>
      <c r="L113" s="47"/>
      <c r="M113" s="47"/>
      <c r="N113" s="47"/>
      <c r="O113" s="50" t="s">
        <v>299</v>
      </c>
      <c r="P113" s="49" t="s">
        <v>207</v>
      </c>
      <c r="Q113" s="47"/>
    </row>
    <row r="114" spans="1:17" ht="15.75">
      <c r="A114" s="47"/>
      <c r="B114" s="47"/>
      <c r="C114" s="52"/>
      <c r="D114" s="47"/>
      <c r="E114" s="47"/>
      <c r="F114" s="47"/>
      <c r="G114" s="47"/>
      <c r="H114" s="47"/>
      <c r="I114" s="47"/>
      <c r="J114" s="50" t="s">
        <v>207</v>
      </c>
      <c r="K114" s="50" t="s">
        <v>207</v>
      </c>
      <c r="L114" s="47"/>
      <c r="M114" s="47"/>
      <c r="N114" s="47"/>
      <c r="O114" s="50" t="s">
        <v>207</v>
      </c>
      <c r="P114" s="49" t="s">
        <v>207</v>
      </c>
      <c r="Q114" s="47"/>
    </row>
    <row r="115" spans="1:17" ht="15.75">
      <c r="A115" s="47"/>
      <c r="B115" s="47"/>
      <c r="C115" s="52"/>
      <c r="D115" s="47"/>
      <c r="E115" s="47"/>
      <c r="F115" s="47"/>
      <c r="G115" s="47"/>
      <c r="H115" s="47"/>
      <c r="I115" s="47"/>
      <c r="J115" s="50" t="s">
        <v>207</v>
      </c>
      <c r="K115" s="50" t="s">
        <v>207</v>
      </c>
      <c r="L115" s="47"/>
      <c r="M115" s="47"/>
      <c r="N115" s="47"/>
      <c r="O115" s="50" t="s">
        <v>207</v>
      </c>
      <c r="P115" s="50" t="s">
        <v>207</v>
      </c>
      <c r="Q115" s="47"/>
    </row>
    <row r="116" spans="1:17" ht="15.75">
      <c r="A116" s="47"/>
      <c r="B116" s="47"/>
      <c r="C116" s="52"/>
      <c r="D116" s="47"/>
      <c r="E116" s="47"/>
      <c r="F116" s="47"/>
      <c r="G116" s="47"/>
      <c r="H116" s="47"/>
      <c r="I116" s="47"/>
      <c r="J116" s="51" t="s">
        <v>207</v>
      </c>
      <c r="K116" s="50" t="s">
        <v>207</v>
      </c>
      <c r="L116" s="47"/>
      <c r="M116" s="47"/>
      <c r="N116" s="47"/>
      <c r="O116" s="50" t="s">
        <v>207</v>
      </c>
      <c r="P116" s="47" t="s">
        <v>207</v>
      </c>
      <c r="Q116" s="47"/>
    </row>
    <row r="117" spans="1:17" ht="15.75">
      <c r="A117" s="47"/>
      <c r="B117" s="47"/>
      <c r="C117" s="52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50" t="s">
        <v>207</v>
      </c>
      <c r="P117" s="47"/>
      <c r="Q117" s="47"/>
    </row>
    <row r="118" spans="1:17" ht="15.75">
      <c r="A118" s="47"/>
      <c r="B118" s="47"/>
      <c r="C118" s="52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50" t="s">
        <v>207</v>
      </c>
      <c r="P118" s="47"/>
      <c r="Q118" s="47"/>
    </row>
    <row r="119" spans="1:17" ht="15.75">
      <c r="A119" s="47"/>
      <c r="B119" s="47"/>
      <c r="C119" s="52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50" t="s">
        <v>207</v>
      </c>
      <c r="P119" s="47"/>
      <c r="Q119" s="47"/>
    </row>
    <row r="120" spans="1:17" ht="15.75">
      <c r="A120" s="47"/>
      <c r="B120" s="47"/>
      <c r="C120" s="52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50" t="s">
        <v>207</v>
      </c>
      <c r="P120" s="47"/>
      <c r="Q120" s="47"/>
    </row>
    <row r="121" spans="1:17" ht="15.75">
      <c r="A121" s="47"/>
      <c r="B121" s="47"/>
      <c r="C121" s="52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0" t="s">
        <v>207</v>
      </c>
      <c r="P121" s="47"/>
      <c r="Q121" s="47"/>
    </row>
    <row r="122" spans="1:17" ht="15.75">
      <c r="A122" s="47"/>
      <c r="B122" s="47"/>
      <c r="C122" s="52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50" t="s">
        <v>207</v>
      </c>
      <c r="P122" s="47"/>
      <c r="Q122" s="47"/>
    </row>
    <row r="123" spans="1:17" ht="15.75">
      <c r="A123" s="47"/>
      <c r="B123" s="47"/>
      <c r="C123" s="52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0" t="s">
        <v>207</v>
      </c>
      <c r="P123" s="47"/>
      <c r="Q123" s="47"/>
    </row>
    <row r="124" spans="1:17" ht="15.75">
      <c r="A124" s="47"/>
      <c r="B124" s="47"/>
      <c r="C124" s="52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50" t="s">
        <v>207</v>
      </c>
      <c r="P124" s="47"/>
      <c r="Q124" s="47"/>
    </row>
    <row r="125" spans="1:17" ht="15.75">
      <c r="A125" s="47"/>
      <c r="B125" s="47"/>
      <c r="C125" s="52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50" t="s">
        <v>207</v>
      </c>
      <c r="P125" s="47"/>
      <c r="Q125" s="47"/>
    </row>
    <row r="126" spans="1:17" ht="15.75">
      <c r="A126" s="47"/>
      <c r="B126" s="47"/>
      <c r="C126" s="52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50" t="s">
        <v>207</v>
      </c>
      <c r="P126" s="47"/>
      <c r="Q126" s="47"/>
    </row>
    <row r="127" spans="1:17" ht="15.75">
      <c r="A127" s="47"/>
      <c r="B127" s="47"/>
      <c r="C127" s="52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ht="15.75">
      <c r="A128" s="47"/>
      <c r="B128" s="47"/>
      <c r="C128" s="52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 ht="15.75">
      <c r="A129" s="47"/>
      <c r="B129" s="47"/>
      <c r="C129" s="52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 ht="15.75">
      <c r="A130" s="47"/>
      <c r="B130" s="47"/>
      <c r="C130" s="52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 ht="15.75">
      <c r="A131" s="47"/>
      <c r="B131" s="47"/>
      <c r="C131" s="52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 ht="15.75">
      <c r="A132" s="47"/>
      <c r="B132" s="47"/>
      <c r="C132" s="52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 ht="15.75">
      <c r="A133" s="47"/>
      <c r="B133" s="47"/>
      <c r="C133" s="52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1:17" ht="15.75">
      <c r="A134" s="47"/>
      <c r="B134" s="47"/>
      <c r="C134" s="52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ht="15.75">
      <c r="A135" s="47"/>
      <c r="B135" s="47"/>
      <c r="C135" s="52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 ht="15.75">
      <c r="A136" s="47"/>
      <c r="B136" s="47"/>
      <c r="C136" s="52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 ht="15.75">
      <c r="A137" s="47"/>
      <c r="B137" s="47"/>
      <c r="C137" s="52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 ht="15.75">
      <c r="A138" s="47"/>
      <c r="B138" s="47"/>
      <c r="C138" s="52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 ht="15.75">
      <c r="A139" s="47"/>
      <c r="B139" s="47"/>
      <c r="C139" s="52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 ht="15.75">
      <c r="A140" s="47"/>
      <c r="B140" s="47"/>
      <c r="C140" s="52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 ht="15.75">
      <c r="A141" s="47"/>
      <c r="B141" s="47"/>
      <c r="C141" s="52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 ht="15.75">
      <c r="A142" s="47"/>
      <c r="B142" s="47"/>
      <c r="C142" s="52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1:17" ht="15.75">
      <c r="A143" s="47"/>
      <c r="B143" s="47"/>
      <c r="C143" s="52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ht="15.75">
      <c r="A144" s="47"/>
      <c r="B144" s="47"/>
      <c r="C144" s="52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 ht="15.75">
      <c r="A145" s="47"/>
      <c r="B145" s="47"/>
      <c r="C145" s="52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 ht="15.75">
      <c r="A146" s="47"/>
      <c r="B146" s="47"/>
      <c r="C146" s="52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 ht="15.75">
      <c r="A147" s="47"/>
      <c r="B147" s="47"/>
      <c r="C147" s="52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 ht="15.75">
      <c r="A148" s="47"/>
      <c r="B148" s="47"/>
      <c r="C148" s="52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 ht="15.75">
      <c r="A149" s="47"/>
      <c r="B149" s="47"/>
      <c r="C149" s="52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 ht="15.75">
      <c r="A150" s="47"/>
      <c r="B150" s="47"/>
      <c r="C150" s="52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1:17" ht="15.75">
      <c r="A151" s="47"/>
      <c r="B151" s="47"/>
      <c r="C151" s="52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 ht="15.75">
      <c r="A152" s="47"/>
      <c r="B152" s="47"/>
      <c r="C152" s="52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 ht="15.75">
      <c r="A153" s="47"/>
      <c r="B153" s="47"/>
      <c r="C153" s="52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1:17" ht="15.75">
      <c r="A154" s="47"/>
      <c r="B154" s="47"/>
      <c r="C154" s="52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 ht="15.75">
      <c r="A155" s="47"/>
      <c r="B155" s="47"/>
      <c r="C155" s="52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 ht="15.75">
      <c r="A156" s="47"/>
      <c r="B156" s="47"/>
      <c r="C156" s="52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7" ht="15.75">
      <c r="A157" s="47"/>
      <c r="B157" s="47"/>
      <c r="C157" s="52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7" ht="15.75">
      <c r="A158" s="47"/>
      <c r="B158" s="47"/>
      <c r="C158" s="52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 ht="15.75">
      <c r="A159" s="47"/>
      <c r="B159" s="47"/>
      <c r="C159" s="52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 ht="15.75">
      <c r="A160" s="47"/>
      <c r="B160" s="47"/>
      <c r="C160" s="52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 ht="15.75">
      <c r="A161" s="47"/>
      <c r="B161" s="47"/>
      <c r="C161" s="52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 ht="15.75">
      <c r="A162" s="47"/>
      <c r="B162" s="47"/>
      <c r="C162" s="52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 ht="15.75">
      <c r="A163" s="47"/>
      <c r="B163" s="47"/>
      <c r="C163" s="52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1:17" ht="15.75">
      <c r="A164" s="47"/>
      <c r="B164" s="47"/>
      <c r="C164" s="52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 ht="15.75">
      <c r="A165" s="47"/>
      <c r="B165" s="47"/>
      <c r="C165" s="52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 ht="15.75">
      <c r="A166" s="47"/>
      <c r="B166" s="47"/>
      <c r="C166" s="52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15.75">
      <c r="A167" s="47"/>
      <c r="B167" s="47"/>
      <c r="C167" s="52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 ht="15.75">
      <c r="A168" s="47"/>
      <c r="B168" s="47"/>
      <c r="C168" s="52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 ht="15.75">
      <c r="A169" s="47"/>
      <c r="B169" s="47"/>
      <c r="C169" s="52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1:17" ht="15.75">
      <c r="A170" s="47"/>
      <c r="B170" s="47"/>
      <c r="C170" s="52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 ht="15.75">
      <c r="A171" s="47"/>
      <c r="B171" s="47"/>
      <c r="C171" s="52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17" ht="15.75">
      <c r="A172" s="47"/>
      <c r="B172" s="47"/>
      <c r="C172" s="52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17" ht="15.75">
      <c r="A173" s="47"/>
      <c r="B173" s="47"/>
      <c r="C173" s="52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 ht="15.75">
      <c r="A174" s="47"/>
      <c r="B174" s="47"/>
      <c r="C174" s="52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 ht="15.75">
      <c r="A175" s="47"/>
      <c r="B175" s="47"/>
      <c r="C175" s="52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 ht="15.75">
      <c r="A176" s="47"/>
      <c r="B176" s="47"/>
      <c r="C176" s="52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1:17" ht="15.75">
      <c r="A177" s="47"/>
      <c r="B177" s="47"/>
      <c r="C177" s="52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 ht="15.75">
      <c r="A178" s="47"/>
      <c r="B178" s="47"/>
      <c r="C178" s="52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 ht="15.75">
      <c r="A179" s="47"/>
      <c r="B179" s="47"/>
      <c r="C179" s="52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 ht="15.75">
      <c r="A180" s="47"/>
      <c r="B180" s="47"/>
      <c r="C180" s="52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1:17" ht="15.75">
      <c r="A181" s="47"/>
      <c r="B181" s="47"/>
      <c r="C181" s="52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 ht="15.75">
      <c r="A182" s="47"/>
      <c r="B182" s="47"/>
      <c r="C182" s="52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 ht="15.75">
      <c r="A183" s="47"/>
      <c r="B183" s="47"/>
      <c r="C183" s="52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 ht="15.75">
      <c r="A184" s="47"/>
      <c r="B184" s="47"/>
      <c r="C184" s="52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 ht="15.75">
      <c r="A185" s="47"/>
      <c r="B185" s="47"/>
      <c r="C185" s="52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60"/>
  <sheetViews>
    <sheetView zoomScalePageLayoutView="0" workbookViewId="0" topLeftCell="C1">
      <selection activeCell="K6" sqref="K6"/>
    </sheetView>
  </sheetViews>
  <sheetFormatPr defaultColWidth="11.421875" defaultRowHeight="15"/>
  <cols>
    <col min="2" max="2" width="68.00390625" style="0" customWidth="1"/>
    <col min="3" max="3" width="18.140625" style="0" customWidth="1"/>
    <col min="4" max="4" width="13.8515625" style="4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6" max="16" width="15.140625" style="0" customWidth="1"/>
    <col min="17" max="17" width="13.140625" style="0" customWidth="1"/>
  </cols>
  <sheetData>
    <row r="1" spans="1:16" ht="23.25">
      <c r="A1" s="5" t="s">
        <v>475</v>
      </c>
      <c r="C1" s="6"/>
      <c r="D1" s="4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23.25">
      <c r="B2" s="5"/>
      <c r="C2" s="8"/>
      <c r="D2" s="4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43" t="s">
        <v>310</v>
      </c>
      <c r="E3" s="10" t="s">
        <v>311</v>
      </c>
      <c r="F3" s="11" t="s">
        <v>312</v>
      </c>
      <c r="G3" s="12" t="s">
        <v>313</v>
      </c>
      <c r="H3" s="13" t="s">
        <v>314</v>
      </c>
      <c r="I3" s="14" t="s">
        <v>315</v>
      </c>
      <c r="J3" s="15" t="s">
        <v>316</v>
      </c>
      <c r="K3" s="10" t="s">
        <v>317</v>
      </c>
      <c r="L3" s="12" t="s">
        <v>318</v>
      </c>
      <c r="M3" s="16" t="s">
        <v>319</v>
      </c>
      <c r="N3" s="17" t="s">
        <v>320</v>
      </c>
      <c r="O3" s="18" t="s">
        <v>321</v>
      </c>
      <c r="P3" s="7"/>
    </row>
    <row r="4" spans="1:16" ht="15">
      <c r="A4" s="19" t="s">
        <v>322</v>
      </c>
      <c r="B4" s="20" t="s">
        <v>323</v>
      </c>
      <c r="C4" s="21">
        <f>SUM(C5:C29)</f>
        <v>5216506000</v>
      </c>
      <c r="D4" s="4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2" t="s">
        <v>324</v>
      </c>
      <c r="B5" s="23" t="s">
        <v>325</v>
      </c>
      <c r="C5" s="24" t="s">
        <v>207</v>
      </c>
      <c r="D5" s="4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f>SUM(D5:O5)</f>
        <v>0</v>
      </c>
    </row>
    <row r="6" spans="1:16" ht="15">
      <c r="A6" s="25">
        <v>101</v>
      </c>
      <c r="B6" s="26" t="s">
        <v>326</v>
      </c>
      <c r="C6" s="24">
        <v>1507677000</v>
      </c>
      <c r="D6" s="44">
        <f>55951503.5+55862856.82</f>
        <v>111814360.32</v>
      </c>
      <c r="E6" s="7">
        <v>112844603.67</v>
      </c>
      <c r="F6" s="7">
        <f>55850906.83+56058858.51</f>
        <v>111909765.34</v>
      </c>
      <c r="G6" s="7">
        <f>55405646.83+55353535.18</f>
        <v>110759182.00999999</v>
      </c>
      <c r="H6" s="7">
        <f>55065385.17+55241883.49</f>
        <v>110307268.66</v>
      </c>
      <c r="I6" s="7">
        <f>59945873.33+56282104.99</f>
        <v>116227978.32</v>
      </c>
      <c r="J6" s="7">
        <f>55800248.32+56028879.99</f>
        <v>111829128.31</v>
      </c>
      <c r="K6" s="7"/>
      <c r="L6" s="7"/>
      <c r="M6" s="7"/>
      <c r="N6" s="7"/>
      <c r="O6" s="7"/>
      <c r="P6" s="7">
        <f aca="true" t="shared" si="0" ref="P6:P69">SUM(D6:O6)</f>
        <v>785692286.6299999</v>
      </c>
    </row>
    <row r="7" spans="1:16" ht="15">
      <c r="A7" s="25">
        <v>103</v>
      </c>
      <c r="B7" s="26" t="s">
        <v>327</v>
      </c>
      <c r="C7" s="24">
        <v>0</v>
      </c>
      <c r="D7" s="4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</row>
    <row r="8" spans="1:16" ht="15">
      <c r="A8" s="25">
        <v>105</v>
      </c>
      <c r="B8" s="26" t="s">
        <v>328</v>
      </c>
      <c r="C8" s="24">
        <v>4000000</v>
      </c>
      <c r="D8" s="4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</row>
    <row r="9" spans="1:16" ht="15">
      <c r="A9" s="22" t="s">
        <v>329</v>
      </c>
      <c r="B9" s="23" t="s">
        <v>330</v>
      </c>
      <c r="C9" s="24"/>
      <c r="D9" s="4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1:16" ht="15">
      <c r="A10" s="25">
        <v>201</v>
      </c>
      <c r="B10" s="26" t="s">
        <v>331</v>
      </c>
      <c r="C10" s="24">
        <v>8000000</v>
      </c>
      <c r="D10" s="44">
        <v>291380.3</v>
      </c>
      <c r="E10" s="7">
        <v>1010264.7</v>
      </c>
      <c r="F10" s="7">
        <f>1151200.42+98066.7</f>
        <v>1249267.1199999999</v>
      </c>
      <c r="G10" s="7">
        <v>1388718.89</v>
      </c>
      <c r="H10" s="7">
        <v>1092119.67</v>
      </c>
      <c r="I10" s="7">
        <v>1759238.58</v>
      </c>
      <c r="J10" s="7">
        <f>1050794.17+303129.2</f>
        <v>1353923.3699999999</v>
      </c>
      <c r="K10" s="7"/>
      <c r="L10" s="7"/>
      <c r="M10" s="7"/>
      <c r="N10" s="7"/>
      <c r="O10" s="7"/>
      <c r="P10" s="7">
        <f t="shared" si="0"/>
        <v>8144912.63</v>
      </c>
    </row>
    <row r="11" spans="1:16" ht="15">
      <c r="A11" s="25">
        <v>202</v>
      </c>
      <c r="B11" s="26" t="s">
        <v>332</v>
      </c>
      <c r="C11" s="24">
        <v>1000000</v>
      </c>
      <c r="D11" s="4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1:16" ht="15">
      <c r="A12" s="25">
        <v>203</v>
      </c>
      <c r="B12" s="26" t="s">
        <v>333</v>
      </c>
      <c r="C12" s="24">
        <f>100000-100000</f>
        <v>0</v>
      </c>
      <c r="D12" s="4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</row>
    <row r="13" spans="1:16" ht="15">
      <c r="A13" s="22" t="s">
        <v>334</v>
      </c>
      <c r="B13" s="23" t="s">
        <v>335</v>
      </c>
      <c r="C13" s="24"/>
      <c r="D13" s="4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</row>
    <row r="14" spans="1:16" ht="15">
      <c r="A14" s="25">
        <v>301</v>
      </c>
      <c r="B14" s="26" t="s">
        <v>336</v>
      </c>
      <c r="C14" s="24">
        <v>926924000</v>
      </c>
      <c r="D14" s="44">
        <f>35127020.67+35161490.83</f>
        <v>70288511.5</v>
      </c>
      <c r="E14" s="7">
        <v>71565178</v>
      </c>
      <c r="F14" s="7">
        <f>35293215.67+35570065.67</f>
        <v>70863281.34</v>
      </c>
      <c r="G14" s="7">
        <f>35617547.34+35389464</f>
        <v>71007011.34</v>
      </c>
      <c r="H14" s="7">
        <f>35328702.34+35494680.67</f>
        <v>70823383.01</v>
      </c>
      <c r="I14" s="7">
        <f>38856339.66+36538483.33</f>
        <v>75394822.99</v>
      </c>
      <c r="J14" s="7">
        <f>36450248.33+36572771.66</f>
        <v>73023019.99</v>
      </c>
      <c r="K14" s="7"/>
      <c r="L14" s="7"/>
      <c r="M14" s="7"/>
      <c r="N14" s="7"/>
      <c r="O14" s="7"/>
      <c r="P14" s="7">
        <f t="shared" si="0"/>
        <v>502965208.17</v>
      </c>
    </row>
    <row r="15" spans="1:16" ht="15">
      <c r="A15" s="25">
        <v>302</v>
      </c>
      <c r="B15" s="26" t="s">
        <v>337</v>
      </c>
      <c r="C15" s="24">
        <v>829336000</v>
      </c>
      <c r="D15" s="44">
        <f>30021993.75+29964373.41</f>
        <v>59986367.16</v>
      </c>
      <c r="E15" s="7">
        <v>60519481.59</v>
      </c>
      <c r="F15" s="7">
        <f>30014592.42+30113222.49</f>
        <v>60127814.91</v>
      </c>
      <c r="G15" s="7">
        <f>29841482.25+29778887.24</f>
        <v>59620369.489999995</v>
      </c>
      <c r="H15" s="7">
        <f>29542031.83+29970871.5</f>
        <v>59512903.33</v>
      </c>
      <c r="I15" s="7">
        <f>32420029.58+30418870.42</f>
        <v>62838900</v>
      </c>
      <c r="J15" s="7">
        <f>30150464.84+30252235.34</f>
        <v>60402700.18</v>
      </c>
      <c r="K15" s="7"/>
      <c r="L15" s="7"/>
      <c r="M15" s="7"/>
      <c r="N15" s="7"/>
      <c r="O15" s="7"/>
      <c r="P15" s="7">
        <f t="shared" si="0"/>
        <v>423008536.65999997</v>
      </c>
    </row>
    <row r="16" spans="1:16" ht="15">
      <c r="A16" s="25">
        <v>303</v>
      </c>
      <c r="B16" s="26" t="s">
        <v>338</v>
      </c>
      <c r="C16" s="24">
        <v>332100000</v>
      </c>
      <c r="D16" s="44"/>
      <c r="E16" s="7">
        <v>323331.03</v>
      </c>
      <c r="F16" s="7">
        <v>0</v>
      </c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323331.03</v>
      </c>
    </row>
    <row r="17" spans="1:16" ht="15">
      <c r="A17" s="25">
        <v>304</v>
      </c>
      <c r="B17" s="26" t="s">
        <v>339</v>
      </c>
      <c r="C17" s="24">
        <v>284400000</v>
      </c>
      <c r="D17" s="44">
        <v>271704364</v>
      </c>
      <c r="E17" s="9">
        <v>319449.53</v>
      </c>
      <c r="F17" s="7">
        <v>0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272023813.53</v>
      </c>
    </row>
    <row r="18" spans="1:16" ht="15">
      <c r="A18" s="25">
        <v>399</v>
      </c>
      <c r="B18" s="26" t="s">
        <v>340</v>
      </c>
      <c r="C18" s="24">
        <v>427103000</v>
      </c>
      <c r="D18" s="44">
        <f>7013970.25+227441+7999742.1+7001761.98+8000621.7+227441</f>
        <v>30470978.029999997</v>
      </c>
      <c r="E18" s="7">
        <v>30530860.88</v>
      </c>
      <c r="F18" s="7">
        <f>7964961.25+7023533.4+227441+7978223.81+7036460.26+227441</f>
        <v>30458060.72</v>
      </c>
      <c r="G18" s="7">
        <f>6969523.45+227441+8220407.93+6947754.01+227441+7998942.68</f>
        <v>30591510.07</v>
      </c>
      <c r="H18" s="7">
        <f>227441+8006114.35+6909521.17+8143684.09+227441+6971729.95</f>
        <v>30485931.56</v>
      </c>
      <c r="I18" s="7">
        <f>8847213.75+246471+7371451.65+8306602.13+229171+7081887.76</f>
        <v>32082797.29</v>
      </c>
      <c r="J18" s="7">
        <f>8271737.06+229171+7022697.63+8266861.87+7050443.5+229171</f>
        <v>31070082.06</v>
      </c>
      <c r="K18" s="7"/>
      <c r="L18" s="7"/>
      <c r="M18" s="7"/>
      <c r="N18" s="7"/>
      <c r="O18" s="7"/>
      <c r="P18" s="7">
        <f t="shared" si="0"/>
        <v>215690220.60999998</v>
      </c>
    </row>
    <row r="19" spans="1:16" ht="15">
      <c r="A19" s="22" t="s">
        <v>341</v>
      </c>
      <c r="B19" s="23" t="s">
        <v>342</v>
      </c>
      <c r="C19" s="24"/>
      <c r="D19" s="4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</row>
    <row r="20" spans="1:16" ht="15">
      <c r="A20" s="25">
        <v>401</v>
      </c>
      <c r="B20" s="26" t="s">
        <v>343</v>
      </c>
      <c r="C20" s="24">
        <v>368931000</v>
      </c>
      <c r="D20" s="44">
        <v>25404840</v>
      </c>
      <c r="E20" s="7">
        <v>50371426</v>
      </c>
      <c r="F20" s="7">
        <v>25214472</v>
      </c>
      <c r="G20" s="7">
        <v>25401260</v>
      </c>
      <c r="H20" s="7">
        <v>25286431</v>
      </c>
      <c r="I20" s="7">
        <v>25180499</v>
      </c>
      <c r="J20" s="7">
        <v>26684348</v>
      </c>
      <c r="K20" s="7"/>
      <c r="L20" s="7"/>
      <c r="M20" s="7"/>
      <c r="N20" s="7"/>
      <c r="O20" s="7"/>
      <c r="P20" s="7">
        <f t="shared" si="0"/>
        <v>203543276</v>
      </c>
    </row>
    <row r="21" spans="1:16" ht="15">
      <c r="A21" s="25">
        <v>402</v>
      </c>
      <c r="B21" s="26" t="s">
        <v>344</v>
      </c>
      <c r="C21" s="24">
        <v>0</v>
      </c>
      <c r="D21" s="4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</row>
    <row r="22" spans="1:16" ht="15">
      <c r="A22" s="25">
        <v>405</v>
      </c>
      <c r="B22" s="26" t="s">
        <v>345</v>
      </c>
      <c r="C22" s="24">
        <v>19942000</v>
      </c>
      <c r="D22" s="44">
        <v>1373239</v>
      </c>
      <c r="E22" s="7">
        <v>2722784</v>
      </c>
      <c r="F22" s="7">
        <v>1362945</v>
      </c>
      <c r="G22" s="7">
        <v>1373043</v>
      </c>
      <c r="H22" s="7">
        <v>1366836</v>
      </c>
      <c r="I22" s="7">
        <v>1361107</v>
      </c>
      <c r="J22" s="7">
        <v>1442399</v>
      </c>
      <c r="K22" s="7"/>
      <c r="L22" s="7"/>
      <c r="M22" s="7"/>
      <c r="N22" s="7"/>
      <c r="O22" s="7"/>
      <c r="P22" s="7">
        <f t="shared" si="0"/>
        <v>11002353</v>
      </c>
    </row>
    <row r="23" spans="1:16" ht="15">
      <c r="A23" s="22" t="s">
        <v>346</v>
      </c>
      <c r="B23" s="23" t="s">
        <v>347</v>
      </c>
      <c r="C23" s="24"/>
      <c r="D23" s="4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</row>
    <row r="24" spans="1:16" ht="15">
      <c r="A24" s="25">
        <v>501</v>
      </c>
      <c r="B24" s="26" t="s">
        <v>470</v>
      </c>
      <c r="C24" s="24">
        <v>202613000</v>
      </c>
      <c r="D24" s="44">
        <v>13829287</v>
      </c>
      <c r="E24" s="7">
        <v>27419932</v>
      </c>
      <c r="F24" s="7">
        <v>13724785</v>
      </c>
      <c r="G24" s="7">
        <v>13827367</v>
      </c>
      <c r="H24" s="7">
        <v>13763090</v>
      </c>
      <c r="I24" s="7">
        <v>13704913</v>
      </c>
      <c r="J24" s="7">
        <v>14544425</v>
      </c>
      <c r="K24" s="7"/>
      <c r="L24" s="7"/>
      <c r="M24" s="7"/>
      <c r="N24" s="7"/>
      <c r="O24" s="7"/>
      <c r="P24" s="7">
        <f t="shared" si="0"/>
        <v>110813799</v>
      </c>
    </row>
    <row r="25" spans="1:16" ht="15">
      <c r="A25" s="25">
        <v>502</v>
      </c>
      <c r="B25" s="26" t="s">
        <v>348</v>
      </c>
      <c r="C25" s="24">
        <v>59827000</v>
      </c>
      <c r="D25" s="44">
        <v>4119706</v>
      </c>
      <c r="E25" s="7">
        <v>8168341</v>
      </c>
      <c r="F25" s="7">
        <v>4088834</v>
      </c>
      <c r="G25" s="7">
        <v>4119125</v>
      </c>
      <c r="H25" s="7">
        <v>4100499</v>
      </c>
      <c r="I25" s="7">
        <v>4083325</v>
      </c>
      <c r="J25" s="7">
        <v>4327188</v>
      </c>
      <c r="K25" s="7"/>
      <c r="L25" s="7"/>
      <c r="M25" s="7"/>
      <c r="N25" s="7"/>
      <c r="O25" s="7"/>
      <c r="P25" s="7">
        <f t="shared" si="0"/>
        <v>33007018</v>
      </c>
    </row>
    <row r="26" spans="1:16" ht="15">
      <c r="A26" s="25">
        <v>503</v>
      </c>
      <c r="B26" s="26" t="s">
        <v>349</v>
      </c>
      <c r="C26" s="24">
        <v>119653000</v>
      </c>
      <c r="D26" s="44">
        <v>8239410</v>
      </c>
      <c r="E26" s="7">
        <v>16336681</v>
      </c>
      <c r="F26" s="7">
        <v>8177660</v>
      </c>
      <c r="G26" s="7">
        <v>8238241</v>
      </c>
      <c r="H26" s="7">
        <v>8201002</v>
      </c>
      <c r="I26" s="7">
        <v>8166642</v>
      </c>
      <c r="J26" s="7">
        <v>8654382</v>
      </c>
      <c r="K26" s="7"/>
      <c r="L26" s="7"/>
      <c r="M26" s="7"/>
      <c r="N26" s="7"/>
      <c r="O26" s="7"/>
      <c r="P26" s="7">
        <f t="shared" si="0"/>
        <v>66014018</v>
      </c>
    </row>
    <row r="27" spans="1:17" ht="15">
      <c r="A27" s="25">
        <v>505</v>
      </c>
      <c r="B27" s="26" t="s">
        <v>471</v>
      </c>
      <c r="C27" s="24">
        <v>125000000</v>
      </c>
      <c r="D27" s="44">
        <v>5381687.27</v>
      </c>
      <c r="E27" s="7">
        <v>20914426.869999997</v>
      </c>
      <c r="F27" s="7">
        <v>10641188.13</v>
      </c>
      <c r="G27" s="7">
        <v>10671622.25</v>
      </c>
      <c r="H27" s="7">
        <v>10670820.95</v>
      </c>
      <c r="I27" s="7">
        <v>10956268.45</v>
      </c>
      <c r="J27" s="7">
        <f>227823.69+11409804.52</f>
        <v>11637628.209999999</v>
      </c>
      <c r="K27" s="7"/>
      <c r="L27" s="7"/>
      <c r="M27" s="7"/>
      <c r="N27" s="7"/>
      <c r="O27" s="7"/>
      <c r="P27" s="7">
        <f t="shared" si="0"/>
        <v>80873642.13</v>
      </c>
      <c r="Q27" t="s">
        <v>207</v>
      </c>
    </row>
    <row r="28" spans="1:16" ht="15">
      <c r="A28" s="22" t="s">
        <v>350</v>
      </c>
      <c r="B28" s="23" t="s">
        <v>351</v>
      </c>
      <c r="C28" s="24"/>
      <c r="D28" s="4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</row>
    <row r="29" spans="1:16" ht="15">
      <c r="A29" s="25">
        <v>9901</v>
      </c>
      <c r="B29" s="26" t="s">
        <v>352</v>
      </c>
      <c r="C29" s="24">
        <v>0</v>
      </c>
      <c r="D29" s="4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</row>
    <row r="30" spans="1:16" ht="15">
      <c r="A30" s="25"/>
      <c r="B30" s="26"/>
      <c r="C30" s="27"/>
      <c r="D30" s="4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</row>
    <row r="31" spans="1:16" ht="15">
      <c r="A31" s="19" t="s">
        <v>353</v>
      </c>
      <c r="B31" s="20" t="s">
        <v>354</v>
      </c>
      <c r="C31" s="21">
        <f>SUM(C33:C83)</f>
        <v>563350000</v>
      </c>
      <c r="D31" s="4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</row>
    <row r="32" spans="1:16" ht="15">
      <c r="A32" s="28">
        <v>101</v>
      </c>
      <c r="B32" s="23" t="s">
        <v>355</v>
      </c>
      <c r="C32" s="24"/>
      <c r="D32" s="4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</row>
    <row r="33" spans="1:16" ht="15">
      <c r="A33" s="25">
        <v>10101</v>
      </c>
      <c r="B33" s="26" t="s">
        <v>356</v>
      </c>
      <c r="C33" s="24">
        <v>61500000</v>
      </c>
      <c r="D33" s="44">
        <f>309000+550555+45000+65463.75</f>
        <v>970018.75</v>
      </c>
      <c r="E33" s="7">
        <v>2326321.75</v>
      </c>
      <c r="F33" s="7">
        <f>48950+50000+703975+700000+54800+550555</f>
        <v>2108280</v>
      </c>
      <c r="G33" s="7">
        <f>700000+37350+50000+480953+480953+309000+65463.75+703975+633138</f>
        <v>3460832.75</v>
      </c>
      <c r="H33" s="7">
        <f>65463.75+309000+700000+633138+67050+50000+309000+703975+69050</f>
        <v>2906676.75</v>
      </c>
      <c r="I33" s="7">
        <f>65463.75+633138+50000+703975+24600+21050+65463.75+700000+480953+480953+700000+309000+7750</f>
        <v>4242346.5</v>
      </c>
      <c r="J33" s="7">
        <f>50000+633138+54500+703975</f>
        <v>1441613</v>
      </c>
      <c r="K33" s="7"/>
      <c r="L33" s="7"/>
      <c r="M33" s="7"/>
      <c r="N33" s="7"/>
      <c r="O33" s="7"/>
      <c r="P33" s="7">
        <f t="shared" si="0"/>
        <v>17456089.5</v>
      </c>
    </row>
    <row r="34" spans="1:16" ht="15">
      <c r="A34" s="25">
        <v>10102</v>
      </c>
      <c r="B34" s="26" t="s">
        <v>357</v>
      </c>
      <c r="C34" s="24">
        <v>0</v>
      </c>
      <c r="D34" s="4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</row>
    <row r="35" spans="1:16" ht="15">
      <c r="A35" s="25">
        <v>10103</v>
      </c>
      <c r="B35" s="26" t="s">
        <v>358</v>
      </c>
      <c r="C35" s="24">
        <v>0</v>
      </c>
      <c r="D35" s="4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</row>
    <row r="36" spans="1:16" ht="15">
      <c r="A36" s="25">
        <v>10104</v>
      </c>
      <c r="B36" s="26" t="s">
        <v>359</v>
      </c>
      <c r="C36" s="24">
        <f>2000000-2000000</f>
        <v>0</v>
      </c>
      <c r="D36" s="4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</row>
    <row r="37" spans="1:16" ht="15">
      <c r="A37" s="25">
        <v>10199</v>
      </c>
      <c r="B37" s="26" t="s">
        <v>360</v>
      </c>
      <c r="C37" s="24">
        <v>100000</v>
      </c>
      <c r="D37" s="4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0"/>
        <v>0</v>
      </c>
    </row>
    <row r="38" spans="1:16" ht="15">
      <c r="A38" s="28">
        <v>102</v>
      </c>
      <c r="B38" s="23" t="s">
        <v>361</v>
      </c>
      <c r="C38" s="24"/>
      <c r="D38" s="4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0"/>
        <v>0</v>
      </c>
    </row>
    <row r="39" spans="1:16" ht="15">
      <c r="A39" s="25">
        <v>10201</v>
      </c>
      <c r="B39" s="26" t="s">
        <v>362</v>
      </c>
      <c r="C39" s="24">
        <v>20500000</v>
      </c>
      <c r="D39" s="44">
        <f>5210+12652+12652+7376+1475336</f>
        <v>1513226</v>
      </c>
      <c r="E39" s="7">
        <v>1231779</v>
      </c>
      <c r="F39" s="7">
        <f>7386+9148+1504550+5220+5624</f>
        <v>1531928</v>
      </c>
      <c r="G39" s="7">
        <f>7386+3980+1405990+5624+5624</f>
        <v>1428604</v>
      </c>
      <c r="H39" s="7">
        <f>7386+3980+1526950+9148+7386</f>
        <v>1554850</v>
      </c>
      <c r="I39" s="7">
        <f>5624+3980+1314150+5624+7386</f>
        <v>1336764</v>
      </c>
      <c r="J39" s="7"/>
      <c r="K39" s="7"/>
      <c r="L39" s="7"/>
      <c r="M39" s="7"/>
      <c r="N39" s="7"/>
      <c r="O39" s="7"/>
      <c r="P39" s="7">
        <f t="shared" si="0"/>
        <v>8597151</v>
      </c>
    </row>
    <row r="40" spans="1:16" ht="15">
      <c r="A40" s="25">
        <v>10202</v>
      </c>
      <c r="B40" s="26" t="s">
        <v>363</v>
      </c>
      <c r="C40" s="24">
        <v>28500000</v>
      </c>
      <c r="D40" s="44">
        <f>97425+58255+1520176+31024+26405.33+58585+41440+44685+65125</f>
        <v>1943120.33</v>
      </c>
      <c r="E40" s="7">
        <v>1735440.03</v>
      </c>
      <c r="F40" s="7">
        <f>83820+1425285+28894.99+125855+54560+68870+71555</f>
        <v>1858839.99</v>
      </c>
      <c r="G40" s="7">
        <f>27886.59+57765+65450+99650+74110</f>
        <v>324861.58999999997</v>
      </c>
      <c r="H40" s="7">
        <f>117425+1469280+29937.1+98620+1402390+79135+64710+88405+71855</f>
        <v>3421757.1</v>
      </c>
      <c r="I40" s="7">
        <f>88065+1626555+93150+70480+99945+101945+24034.94</f>
        <v>2104174.94</v>
      </c>
      <c r="J40" s="7">
        <f>80375+90540+1765160+93450+54695+28666.19+60330</f>
        <v>2173216.19</v>
      </c>
      <c r="K40" s="7"/>
      <c r="L40" s="7"/>
      <c r="M40" s="7"/>
      <c r="N40" s="7"/>
      <c r="O40" s="7"/>
      <c r="P40" s="7">
        <f t="shared" si="0"/>
        <v>13561410.17</v>
      </c>
    </row>
    <row r="41" spans="1:16" ht="15">
      <c r="A41" s="25">
        <v>10203</v>
      </c>
      <c r="B41" s="26" t="s">
        <v>364</v>
      </c>
      <c r="C41" s="24">
        <f>8000000+1000000</f>
        <v>9000000</v>
      </c>
      <c r="D41" s="44">
        <v>10840</v>
      </c>
      <c r="E41" s="7">
        <v>474550</v>
      </c>
      <c r="F41" s="7">
        <f>800890+3700</f>
        <v>804590</v>
      </c>
      <c r="G41" s="7">
        <v>729540</v>
      </c>
      <c r="H41" s="7">
        <f>475610+8120</f>
        <v>483730</v>
      </c>
      <c r="I41" s="7">
        <f>607480+9735</f>
        <v>617215</v>
      </c>
      <c r="J41" s="7"/>
      <c r="K41" s="7"/>
      <c r="L41" s="7"/>
      <c r="M41" s="7"/>
      <c r="N41" s="7"/>
      <c r="O41" s="7"/>
      <c r="P41" s="7">
        <f t="shared" si="0"/>
        <v>3120465</v>
      </c>
    </row>
    <row r="42" spans="1:16" ht="15">
      <c r="A42" s="25">
        <v>10204</v>
      </c>
      <c r="B42" s="26" t="s">
        <v>365</v>
      </c>
      <c r="C42" s="24">
        <v>48250000</v>
      </c>
      <c r="D42" s="44">
        <f>2578290.82+52618.18+280667.1+5727.9+195191.5+3983.5+184209.15+3759.35+556744.3+11362.1</f>
        <v>3872553.9</v>
      </c>
      <c r="E42" s="7">
        <v>4208192.52</v>
      </c>
      <c r="F42" s="7">
        <f>718885.71+169257+2675728+300855+200030+190333.6</f>
        <v>4255089.31</v>
      </c>
      <c r="G42" s="7">
        <f>500000+255578.41</f>
        <v>755578.41</v>
      </c>
      <c r="H42" s="7">
        <f>170181+190058.9+2724375+296795+187000+170637+191191.2+653545.52+289485+2648305+186865</f>
        <v>7708438.62</v>
      </c>
      <c r="I42" s="7">
        <f>337995.58+500000+203898.17+171612+194340.2+2743483+344935+190440</f>
        <v>4686703.95</v>
      </c>
      <c r="J42" s="7">
        <f>500000+212837.22+172656+194256.45+2810596+321405+193185</f>
        <v>4404935.67</v>
      </c>
      <c r="K42" s="7"/>
      <c r="L42" s="7"/>
      <c r="M42" s="7"/>
      <c r="N42" s="7"/>
      <c r="O42" s="7"/>
      <c r="P42" s="7">
        <f t="shared" si="0"/>
        <v>29891492.380000003</v>
      </c>
    </row>
    <row r="43" spans="1:16" ht="15">
      <c r="A43" s="25">
        <v>10299</v>
      </c>
      <c r="B43" s="26" t="s">
        <v>366</v>
      </c>
      <c r="C43" s="24">
        <v>1500000</v>
      </c>
      <c r="D43" s="44"/>
      <c r="E43" s="7">
        <v>14960.68</v>
      </c>
      <c r="F43" s="7">
        <f>266226+25945.68+32850+12000</f>
        <v>337021.68</v>
      </c>
      <c r="G43" s="7">
        <v>14960.68</v>
      </c>
      <c r="H43" s="7">
        <f>19950+14960.68</f>
        <v>34910.68</v>
      </c>
      <c r="I43" s="7">
        <v>14960.68</v>
      </c>
      <c r="J43" s="7">
        <f>346695.7+15373.18</f>
        <v>362068.88</v>
      </c>
      <c r="K43" s="7"/>
      <c r="L43" s="7"/>
      <c r="M43" s="7"/>
      <c r="N43" s="7"/>
      <c r="O43" s="7"/>
      <c r="P43" s="7">
        <f t="shared" si="0"/>
        <v>778883.28</v>
      </c>
    </row>
    <row r="44" spans="1:16" ht="15">
      <c r="A44" s="28">
        <v>103</v>
      </c>
      <c r="B44" s="23" t="s">
        <v>367</v>
      </c>
      <c r="C44" s="24"/>
      <c r="D44" s="4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 t="shared" si="0"/>
        <v>0</v>
      </c>
    </row>
    <row r="45" spans="1:16" ht="15">
      <c r="A45" s="25">
        <v>10301</v>
      </c>
      <c r="B45" s="26" t="s">
        <v>368</v>
      </c>
      <c r="C45" s="24">
        <v>6000000</v>
      </c>
      <c r="D45" s="44"/>
      <c r="E45" s="7">
        <v>8470</v>
      </c>
      <c r="F45" s="7">
        <f>219372+87940</f>
        <v>307312</v>
      </c>
      <c r="G45" s="7">
        <f>63980+77460</f>
        <v>141440</v>
      </c>
      <c r="H45" s="7"/>
      <c r="I45" s="7">
        <v>42930</v>
      </c>
      <c r="J45" s="7">
        <v>115970</v>
      </c>
      <c r="K45" s="7"/>
      <c r="L45" s="7"/>
      <c r="M45" s="7"/>
      <c r="N45" s="7"/>
      <c r="O45" s="7"/>
      <c r="P45" s="7">
        <f t="shared" si="0"/>
        <v>616122</v>
      </c>
    </row>
    <row r="46" spans="1:16" ht="15">
      <c r="A46" s="25">
        <v>10302</v>
      </c>
      <c r="B46" s="26" t="s">
        <v>369</v>
      </c>
      <c r="C46" s="24">
        <v>0</v>
      </c>
      <c r="D46" s="4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f t="shared" si="0"/>
        <v>0</v>
      </c>
    </row>
    <row r="47" spans="1:16" ht="15">
      <c r="A47" s="25">
        <v>10303</v>
      </c>
      <c r="B47" s="26" t="s">
        <v>370</v>
      </c>
      <c r="C47" s="24">
        <v>4000000</v>
      </c>
      <c r="D47" s="44"/>
      <c r="E47" s="7">
        <v>8760</v>
      </c>
      <c r="F47" s="7"/>
      <c r="G47" s="7">
        <v>31450</v>
      </c>
      <c r="H47" s="7">
        <f>7590+7500</f>
        <v>15090</v>
      </c>
      <c r="I47" s="7">
        <f>21050+7785</f>
        <v>28835</v>
      </c>
      <c r="J47" s="7">
        <v>5355</v>
      </c>
      <c r="K47" s="7"/>
      <c r="L47" s="7"/>
      <c r="M47" s="7"/>
      <c r="N47" s="7"/>
      <c r="O47" s="7"/>
      <c r="P47" s="7">
        <f t="shared" si="0"/>
        <v>89490</v>
      </c>
    </row>
    <row r="48" spans="1:16" ht="15">
      <c r="A48" s="25">
        <v>10304</v>
      </c>
      <c r="B48" s="26" t="s">
        <v>371</v>
      </c>
      <c r="C48" s="24">
        <v>200000</v>
      </c>
      <c r="D48" s="44"/>
      <c r="E48" s="7">
        <v>5500</v>
      </c>
      <c r="F48" s="7"/>
      <c r="G48" s="7"/>
      <c r="H48" s="7">
        <v>1000</v>
      </c>
      <c r="I48" s="7">
        <v>1500</v>
      </c>
      <c r="J48" s="7"/>
      <c r="K48" s="7"/>
      <c r="L48" s="7"/>
      <c r="M48" s="7"/>
      <c r="N48" s="7"/>
      <c r="O48" s="7"/>
      <c r="P48" s="7">
        <f t="shared" si="0"/>
        <v>8000</v>
      </c>
    </row>
    <row r="49" spans="1:16" ht="15">
      <c r="A49" s="25">
        <v>10306</v>
      </c>
      <c r="B49" s="26" t="s">
        <v>372</v>
      </c>
      <c r="C49" s="24">
        <f>1200000+500000</f>
        <v>1700000</v>
      </c>
      <c r="D49" s="44">
        <f>114249.7+2331.65</f>
        <v>116581.34999999999</v>
      </c>
      <c r="E49" s="7">
        <v>69233.45</v>
      </c>
      <c r="F49" s="7">
        <v>56816</v>
      </c>
      <c r="G49" s="7"/>
      <c r="H49" s="7">
        <f>57072+56734</f>
        <v>113806</v>
      </c>
      <c r="I49" s="7">
        <v>81096.38</v>
      </c>
      <c r="J49" s="7">
        <f>2306+419466.95</f>
        <v>421772.95</v>
      </c>
      <c r="K49" s="7"/>
      <c r="L49" s="7"/>
      <c r="M49" s="7"/>
      <c r="N49" s="7"/>
      <c r="O49" s="7"/>
      <c r="P49" s="7">
        <f t="shared" si="0"/>
        <v>859306.13</v>
      </c>
    </row>
    <row r="50" spans="1:16" ht="15">
      <c r="A50" s="25">
        <v>10307</v>
      </c>
      <c r="B50" s="26" t="s">
        <v>373</v>
      </c>
      <c r="C50" s="24">
        <v>16800000</v>
      </c>
      <c r="D50" s="44">
        <f>454896.7+9283.61</f>
        <v>464180.31</v>
      </c>
      <c r="E50" s="7">
        <v>610409.57</v>
      </c>
      <c r="F50" s="7">
        <v>781751.51</v>
      </c>
      <c r="G50" s="7"/>
      <c r="H50" s="7">
        <f>721094.17+355308.48</f>
        <v>1076402.65</v>
      </c>
      <c r="I50" s="7">
        <v>915448.81</v>
      </c>
      <c r="J50" s="7">
        <v>939120.54</v>
      </c>
      <c r="K50" s="7"/>
      <c r="L50" s="7"/>
      <c r="M50" s="7"/>
      <c r="N50" s="7"/>
      <c r="O50" s="7"/>
      <c r="P50" s="7">
        <f t="shared" si="0"/>
        <v>4787313.390000001</v>
      </c>
    </row>
    <row r="51" spans="1:16" ht="15">
      <c r="A51" s="28">
        <v>104</v>
      </c>
      <c r="B51" s="23" t="s">
        <v>374</v>
      </c>
      <c r="C51" s="24"/>
      <c r="D51" s="4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f t="shared" si="0"/>
        <v>0</v>
      </c>
    </row>
    <row r="52" spans="1:16" ht="15">
      <c r="A52" s="25">
        <v>10401</v>
      </c>
      <c r="B52" s="26" t="s">
        <v>375</v>
      </c>
      <c r="C52" s="24">
        <v>200000</v>
      </c>
      <c r="D52" s="4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f t="shared" si="0"/>
        <v>0</v>
      </c>
    </row>
    <row r="53" spans="1:16" ht="15">
      <c r="A53" s="25">
        <v>10402</v>
      </c>
      <c r="B53" s="26" t="s">
        <v>376</v>
      </c>
      <c r="C53" s="24">
        <v>0</v>
      </c>
      <c r="D53" s="4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f t="shared" si="0"/>
        <v>0</v>
      </c>
    </row>
    <row r="54" spans="1:16" ht="15">
      <c r="A54" s="25">
        <v>10403</v>
      </c>
      <c r="B54" s="26" t="s">
        <v>377</v>
      </c>
      <c r="C54" s="24">
        <v>650000</v>
      </c>
      <c r="D54" s="4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f t="shared" si="0"/>
        <v>0</v>
      </c>
    </row>
    <row r="55" spans="1:16" ht="15">
      <c r="A55" s="25">
        <v>10404</v>
      </c>
      <c r="B55" s="26" t="s">
        <v>378</v>
      </c>
      <c r="C55" s="24">
        <v>9000000</v>
      </c>
      <c r="D55" s="4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0"/>
        <v>0</v>
      </c>
    </row>
    <row r="56" spans="1:16" ht="15">
      <c r="A56" s="25">
        <v>10405</v>
      </c>
      <c r="B56" s="26" t="s">
        <v>379</v>
      </c>
      <c r="C56" s="24">
        <v>88000000</v>
      </c>
      <c r="D56" s="4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f t="shared" si="0"/>
        <v>0</v>
      </c>
    </row>
    <row r="57" spans="1:16" ht="15">
      <c r="A57" s="25">
        <v>10406</v>
      </c>
      <c r="B57" s="26" t="s">
        <v>380</v>
      </c>
      <c r="C57" s="24">
        <v>113300000</v>
      </c>
      <c r="D57" s="44">
        <v>60000</v>
      </c>
      <c r="E57" s="7">
        <v>4312791.54</v>
      </c>
      <c r="F57" s="7">
        <f>29040+159800+51500+4349168.06+23600+20000</f>
        <v>4633108.06</v>
      </c>
      <c r="G57" s="7">
        <f>36791.5+36791.5+131627.72+131627.72+4949168.06</f>
        <v>5286006.5</v>
      </c>
      <c r="H57" s="7">
        <f>4349168.06+1200000+38333+4949168.06+20000+2618627.17+39600</f>
        <v>13214896.29</v>
      </c>
      <c r="I57" s="7">
        <f>20000+404278.98+45390+131627.72+131627.72+36791.5+36791.5+410756.59+20255</f>
        <v>1237519.01</v>
      </c>
      <c r="J57" s="7">
        <f>4968958.4+36791.5+131627.72+20000+41118+4968958.4</f>
        <v>10167454.02</v>
      </c>
      <c r="K57" s="7"/>
      <c r="L57" s="7"/>
      <c r="M57" s="7"/>
      <c r="N57" s="7"/>
      <c r="O57" s="7"/>
      <c r="P57" s="7">
        <f t="shared" si="0"/>
        <v>38911775.42</v>
      </c>
    </row>
    <row r="58" spans="1:16" ht="15">
      <c r="A58" s="25">
        <v>10499</v>
      </c>
      <c r="B58" s="26" t="s">
        <v>381</v>
      </c>
      <c r="C58" s="24">
        <v>10200000</v>
      </c>
      <c r="D58" s="44"/>
      <c r="E58" s="7">
        <v>580645.01</v>
      </c>
      <c r="F58" s="7">
        <f>29790+200000+391805.98</f>
        <v>621595.98</v>
      </c>
      <c r="G58" s="7">
        <v>200000</v>
      </c>
      <c r="H58" s="7">
        <f>395372.06+200000</f>
        <v>595372.06</v>
      </c>
      <c r="I58" s="7">
        <f>30000+60000+200000+45000+30000+10920</f>
        <v>375920</v>
      </c>
      <c r="J58" s="7">
        <f>43410+30000</f>
        <v>73410</v>
      </c>
      <c r="K58" s="7"/>
      <c r="L58" s="7"/>
      <c r="M58" s="7"/>
      <c r="N58" s="7"/>
      <c r="O58" s="7"/>
      <c r="P58" s="7">
        <f t="shared" si="0"/>
        <v>2446943.05</v>
      </c>
    </row>
    <row r="59" spans="1:16" ht="15">
      <c r="A59" s="28">
        <v>105</v>
      </c>
      <c r="B59" s="23" t="s">
        <v>382</v>
      </c>
      <c r="C59" s="24"/>
      <c r="D59" s="4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 t="shared" si="0"/>
        <v>0</v>
      </c>
    </row>
    <row r="60" spans="1:16" ht="15">
      <c r="A60" s="25">
        <v>10501</v>
      </c>
      <c r="B60" s="26" t="s">
        <v>383</v>
      </c>
      <c r="C60" s="24">
        <v>2000000</v>
      </c>
      <c r="D60" s="44"/>
      <c r="E60" s="7">
        <v>137610</v>
      </c>
      <c r="F60" s="7">
        <f>2500+12470+3810+1740+2180+85835</f>
        <v>108535</v>
      </c>
      <c r="G60" s="7">
        <f>43315+36410</f>
        <v>79725</v>
      </c>
      <c r="H60" s="7">
        <f>144040+8440+98000</f>
        <v>250480</v>
      </c>
      <c r="I60" s="7">
        <f>112300+3800+4220+15500+40165</f>
        <v>175985</v>
      </c>
      <c r="J60" s="7">
        <f>4460+22020</f>
        <v>26480</v>
      </c>
      <c r="K60" s="7"/>
      <c r="L60" s="7"/>
      <c r="M60" s="7"/>
      <c r="N60" s="7"/>
      <c r="O60" s="7"/>
      <c r="P60" s="7">
        <f t="shared" si="0"/>
        <v>778815</v>
      </c>
    </row>
    <row r="61" spans="1:16" ht="15">
      <c r="A61" s="25">
        <v>10502</v>
      </c>
      <c r="B61" s="26" t="s">
        <v>384</v>
      </c>
      <c r="C61" s="24">
        <v>25000000</v>
      </c>
      <c r="D61" s="44"/>
      <c r="E61" s="7">
        <v>774550</v>
      </c>
      <c r="F61" s="7">
        <f>677750+44950+48150+48150+41750+5150+18650+21850+8350+13500+8350+27000+13500+8350+48150+13500+16700+8350+41000+41000+13500+8350+8350+32650+84750+74750+5150+5150+705710</f>
        <v>2092510</v>
      </c>
      <c r="G61" s="7">
        <f>63350+75350+8350+8350+1411350+51000+69800+43000+21850+158400</f>
        <v>1910800</v>
      </c>
      <c r="H61" s="7">
        <f>42997.5+8350+25050+16700+13500+45850+1062500+27000+8350+10300+10300+47000+43800+37848.8+44850+21850+19900+25050+89895.5+39650+39650+8350+16700+37843+42650+37500+21850+16700+659400</f>
        <v>2521384.8</v>
      </c>
      <c r="I61" s="7">
        <f>107500+8350+36150+39650+54550+11550+8350+75699.6+727450+30825+100500+8350+60550+16700+37849+35850+8350+253450+37850+44949+5150+1138700</f>
        <v>2848322.6</v>
      </c>
      <c r="J61" s="7">
        <f>8350+8350+16700+670650+41850+41850+33500</f>
        <v>821250</v>
      </c>
      <c r="K61" s="7"/>
      <c r="L61" s="7"/>
      <c r="M61" s="7"/>
      <c r="N61" s="7"/>
      <c r="O61" s="7"/>
      <c r="P61" s="7">
        <f t="shared" si="0"/>
        <v>10968817.4</v>
      </c>
    </row>
    <row r="62" spans="1:16" ht="15">
      <c r="A62" s="25">
        <v>10503</v>
      </c>
      <c r="B62" s="26" t="s">
        <v>385</v>
      </c>
      <c r="C62" s="24">
        <v>3000000</v>
      </c>
      <c r="D62" s="44"/>
      <c r="E62" s="7"/>
      <c r="F62" s="7"/>
      <c r="G62" s="7">
        <v>700281.1</v>
      </c>
      <c r="H62" s="7"/>
      <c r="I62" s="7">
        <v>168831.39</v>
      </c>
      <c r="J62" s="7">
        <v>21649.01</v>
      </c>
      <c r="K62" s="7"/>
      <c r="L62" s="7"/>
      <c r="M62" s="7"/>
      <c r="N62" s="7"/>
      <c r="O62" s="7"/>
      <c r="P62" s="7">
        <f t="shared" si="0"/>
        <v>890761.5</v>
      </c>
    </row>
    <row r="63" spans="1:16" ht="15">
      <c r="A63" s="25">
        <v>10504</v>
      </c>
      <c r="B63" s="26" t="s">
        <v>386</v>
      </c>
      <c r="C63" s="24">
        <v>4500000</v>
      </c>
      <c r="D63" s="44"/>
      <c r="E63" s="7">
        <v>252486.38</v>
      </c>
      <c r="F63" s="7">
        <v>181959.99</v>
      </c>
      <c r="G63" s="7"/>
      <c r="H63" s="7">
        <v>117821.95</v>
      </c>
      <c r="I63" s="7">
        <f>75783.64+313737.49+593085.18</f>
        <v>982606.31</v>
      </c>
      <c r="J63" s="7"/>
      <c r="K63" s="7"/>
      <c r="L63" s="7"/>
      <c r="M63" s="7"/>
      <c r="N63" s="7"/>
      <c r="O63" s="7"/>
      <c r="P63" s="7">
        <f t="shared" si="0"/>
        <v>1534874.63</v>
      </c>
    </row>
    <row r="64" spans="1:16" ht="15">
      <c r="A64" s="28">
        <v>106</v>
      </c>
      <c r="B64" s="23" t="s">
        <v>387</v>
      </c>
      <c r="C64" s="24"/>
      <c r="D64" s="4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f t="shared" si="0"/>
        <v>0</v>
      </c>
    </row>
    <row r="65" spans="1:16" ht="15">
      <c r="A65" s="25">
        <v>10601</v>
      </c>
      <c r="B65" s="26" t="s">
        <v>388</v>
      </c>
      <c r="C65" s="24">
        <v>45000000</v>
      </c>
      <c r="D65" s="44">
        <f>585334.4+11945.6+4152738.25+84749.75+4901470+100030+50039.77+1021.23+45258</f>
        <v>9932587</v>
      </c>
      <c r="E65" s="7">
        <v>8509835</v>
      </c>
      <c r="F65" s="7">
        <v>9359686</v>
      </c>
      <c r="G65" s="7"/>
      <c r="H65" s="7"/>
      <c r="I65" s="7">
        <v>28012</v>
      </c>
      <c r="J65" s="7"/>
      <c r="K65" s="7"/>
      <c r="L65" s="7"/>
      <c r="M65" s="7"/>
      <c r="N65" s="7"/>
      <c r="O65" s="7"/>
      <c r="P65" s="7">
        <f t="shared" si="0"/>
        <v>27830120</v>
      </c>
    </row>
    <row r="66" spans="1:16" ht="15">
      <c r="A66" s="28">
        <v>107</v>
      </c>
      <c r="B66" s="23" t="s">
        <v>389</v>
      </c>
      <c r="C66" s="24"/>
      <c r="D66" s="4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f t="shared" si="0"/>
        <v>0</v>
      </c>
    </row>
    <row r="67" spans="1:16" ht="15">
      <c r="A67" s="25">
        <v>10701</v>
      </c>
      <c r="B67" s="26" t="s">
        <v>390</v>
      </c>
      <c r="C67" s="24">
        <v>10000000</v>
      </c>
      <c r="D67" s="44"/>
      <c r="E67" s="7">
        <v>90950</v>
      </c>
      <c r="F67" s="7">
        <f>81145+110000+35290+20000</f>
        <v>246435</v>
      </c>
      <c r="G67" s="7">
        <v>495000</v>
      </c>
      <c r="H67" s="7">
        <f>273750+28000+423033.35+38060+283835+50800</f>
        <v>1097478.35</v>
      </c>
      <c r="I67" s="7">
        <f>133830+556500+14400</f>
        <v>704730</v>
      </c>
      <c r="J67" s="7">
        <f>60000+9200</f>
        <v>69200</v>
      </c>
      <c r="K67" s="7"/>
      <c r="L67" s="7"/>
      <c r="M67" s="7"/>
      <c r="N67" s="7"/>
      <c r="O67" s="7"/>
      <c r="P67" s="7">
        <f t="shared" si="0"/>
        <v>2703793.35</v>
      </c>
    </row>
    <row r="68" spans="1:16" ht="15">
      <c r="A68" s="25">
        <v>10702</v>
      </c>
      <c r="B68" s="26" t="s">
        <v>391</v>
      </c>
      <c r="C68" s="24">
        <v>3000000</v>
      </c>
      <c r="D68" s="44"/>
      <c r="E68" s="7"/>
      <c r="F68" s="7"/>
      <c r="G68" s="7"/>
      <c r="H68" s="7">
        <v>18630</v>
      </c>
      <c r="I68" s="7"/>
      <c r="J68" s="7"/>
      <c r="K68" s="7"/>
      <c r="L68" s="7"/>
      <c r="M68" s="7"/>
      <c r="N68" s="7"/>
      <c r="O68" s="7"/>
      <c r="P68" s="7">
        <f t="shared" si="0"/>
        <v>18630</v>
      </c>
    </row>
    <row r="69" spans="1:16" ht="15">
      <c r="A69" s="25">
        <v>10703</v>
      </c>
      <c r="B69" s="26" t="s">
        <v>392</v>
      </c>
      <c r="C69" s="24">
        <v>200000</v>
      </c>
      <c r="D69" s="44"/>
      <c r="E69" s="7">
        <v>68600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f t="shared" si="0"/>
        <v>68600</v>
      </c>
    </row>
    <row r="70" spans="1:16" ht="15">
      <c r="A70" s="28">
        <v>108</v>
      </c>
      <c r="B70" s="23" t="s">
        <v>393</v>
      </c>
      <c r="C70" s="24"/>
      <c r="D70" s="4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f aca="true" t="shared" si="1" ref="P70:P133">SUM(D70:O70)</f>
        <v>0</v>
      </c>
    </row>
    <row r="71" spans="1:16" ht="15">
      <c r="A71" s="25">
        <v>10801</v>
      </c>
      <c r="B71" s="26" t="s">
        <v>394</v>
      </c>
      <c r="C71" s="24">
        <v>30000000</v>
      </c>
      <c r="D71" s="44"/>
      <c r="E71" s="7"/>
      <c r="F71" s="7"/>
      <c r="G71" s="7"/>
      <c r="H71" s="7"/>
      <c r="I71" s="7">
        <f>150000+249999</f>
        <v>399999</v>
      </c>
      <c r="J71" s="7">
        <f>61100+520000</f>
        <v>581100</v>
      </c>
      <c r="K71" s="7"/>
      <c r="L71" s="7"/>
      <c r="M71" s="7"/>
      <c r="N71" s="7"/>
      <c r="O71" s="7"/>
      <c r="P71" s="7">
        <f t="shared" si="1"/>
        <v>981099</v>
      </c>
    </row>
    <row r="72" spans="1:16" ht="15">
      <c r="A72" s="25">
        <v>10804</v>
      </c>
      <c r="B72" s="26" t="s">
        <v>395</v>
      </c>
      <c r="C72" s="24">
        <v>4000000</v>
      </c>
      <c r="D72" s="44"/>
      <c r="E72" s="7">
        <v>39500</v>
      </c>
      <c r="F72" s="7"/>
      <c r="G72" s="7"/>
      <c r="H72" s="7"/>
      <c r="I72" s="7">
        <v>1043750</v>
      </c>
      <c r="J72" s="7"/>
      <c r="K72" s="7"/>
      <c r="L72" s="7"/>
      <c r="M72" s="7"/>
      <c r="N72" s="7"/>
      <c r="O72" s="7"/>
      <c r="P72" s="7">
        <f t="shared" si="1"/>
        <v>1083250</v>
      </c>
    </row>
    <row r="73" spans="1:16" ht="15">
      <c r="A73" s="25">
        <v>10805</v>
      </c>
      <c r="B73" s="26" t="s">
        <v>396</v>
      </c>
      <c r="C73" s="24">
        <v>9000000</v>
      </c>
      <c r="D73" s="44"/>
      <c r="E73" s="7">
        <v>65475</v>
      </c>
      <c r="F73" s="7">
        <f>17410+133570+87370+971824+43410</f>
        <v>1253584</v>
      </c>
      <c r="G73" s="7">
        <f>38565+25000+25000+75000+181500+107000</f>
        <v>452065</v>
      </c>
      <c r="H73" s="7">
        <f>23500+40549+34609+55000+32900+32900+28840+97000+48369.5+23500+35840+23500+20770+11760+357000+67540</f>
        <v>933577.5</v>
      </c>
      <c r="I73" s="7">
        <f>23500+57370+57370+25000+25000+25000+25000+29120+33783+23380+25853+23500+23500+33783+192400+25885+23380+69720+31500</f>
        <v>774044</v>
      </c>
      <c r="J73" s="7">
        <f>80000+260000+1950441+25000+25000+25000+18540</f>
        <v>2383981</v>
      </c>
      <c r="K73" s="7"/>
      <c r="L73" s="7"/>
      <c r="M73" s="7"/>
      <c r="N73" s="7"/>
      <c r="O73" s="7"/>
      <c r="P73" s="7">
        <f t="shared" si="1"/>
        <v>5862726.5</v>
      </c>
    </row>
    <row r="74" spans="1:16" ht="15">
      <c r="A74" s="25">
        <v>10806</v>
      </c>
      <c r="B74" s="26" t="s">
        <v>397</v>
      </c>
      <c r="C74" s="24">
        <v>1000000</v>
      </c>
      <c r="D74" s="44"/>
      <c r="E74" s="7">
        <v>0</v>
      </c>
      <c r="F74" s="7">
        <v>40000</v>
      </c>
      <c r="G74" s="7"/>
      <c r="H74" s="7"/>
      <c r="I74" s="7"/>
      <c r="J74" s="7"/>
      <c r="K74" s="7"/>
      <c r="L74" s="7"/>
      <c r="M74" s="7"/>
      <c r="N74" s="7"/>
      <c r="O74" s="7"/>
      <c r="P74" s="7">
        <f t="shared" si="1"/>
        <v>40000</v>
      </c>
    </row>
    <row r="75" spans="1:16" ht="15">
      <c r="A75" s="25">
        <v>10807</v>
      </c>
      <c r="B75" s="26" t="s">
        <v>398</v>
      </c>
      <c r="C75" s="24">
        <v>3500000</v>
      </c>
      <c r="D75" s="44"/>
      <c r="E75" s="7">
        <v>36117.15</v>
      </c>
      <c r="F75" s="7">
        <v>30900</v>
      </c>
      <c r="G75" s="7"/>
      <c r="H75" s="7">
        <v>39550</v>
      </c>
      <c r="I75" s="7"/>
      <c r="J75" s="7">
        <v>76000</v>
      </c>
      <c r="K75" s="7"/>
      <c r="L75" s="7"/>
      <c r="M75" s="7"/>
      <c r="N75" s="7"/>
      <c r="O75" s="7"/>
      <c r="P75" s="7">
        <f t="shared" si="1"/>
        <v>182567.15</v>
      </c>
    </row>
    <row r="76" spans="1:16" ht="15">
      <c r="A76" s="25">
        <v>10808</v>
      </c>
      <c r="B76" s="26" t="s">
        <v>399</v>
      </c>
      <c r="C76" s="24">
        <v>2500000</v>
      </c>
      <c r="D76" s="44"/>
      <c r="E76" s="7">
        <v>43506.06</v>
      </c>
      <c r="F76" s="7"/>
      <c r="G76" s="7"/>
      <c r="H76" s="7">
        <v>15000</v>
      </c>
      <c r="I76" s="7"/>
      <c r="J76" s="7"/>
      <c r="K76" s="7"/>
      <c r="L76" s="7"/>
      <c r="M76" s="7"/>
      <c r="N76" s="7"/>
      <c r="O76" s="7"/>
      <c r="P76" s="7">
        <f t="shared" si="1"/>
        <v>58506.06</v>
      </c>
    </row>
    <row r="77" spans="1:16" ht="15">
      <c r="A77" s="25">
        <v>10899</v>
      </c>
      <c r="B77" s="26" t="s">
        <v>400</v>
      </c>
      <c r="C77" s="24">
        <v>150000</v>
      </c>
      <c r="D77" s="4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f t="shared" si="1"/>
        <v>0</v>
      </c>
    </row>
    <row r="78" spans="1:16" ht="15">
      <c r="A78" s="28">
        <v>109</v>
      </c>
      <c r="B78" s="23" t="s">
        <v>401</v>
      </c>
      <c r="C78" s="24"/>
      <c r="D78" s="4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f t="shared" si="1"/>
        <v>0</v>
      </c>
    </row>
    <row r="79" spans="1:16" ht="15">
      <c r="A79" s="25">
        <v>10999</v>
      </c>
      <c r="B79" s="26" t="s">
        <v>402</v>
      </c>
      <c r="C79" s="24">
        <v>600000</v>
      </c>
      <c r="D79" s="4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 t="shared" si="1"/>
        <v>0</v>
      </c>
    </row>
    <row r="80" spans="1:16" ht="15">
      <c r="A80" s="28">
        <v>199</v>
      </c>
      <c r="B80" s="23" t="s">
        <v>403</v>
      </c>
      <c r="C80" s="24"/>
      <c r="D80" s="4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f t="shared" si="1"/>
        <v>0</v>
      </c>
    </row>
    <row r="81" spans="1:16" ht="15">
      <c r="A81" s="25">
        <v>19905</v>
      </c>
      <c r="B81" s="26" t="s">
        <v>404</v>
      </c>
      <c r="C81" s="24">
        <v>500000</v>
      </c>
      <c r="D81" s="4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f t="shared" si="1"/>
        <v>0</v>
      </c>
    </row>
    <row r="82" spans="1:16" ht="15">
      <c r="A82" s="25">
        <v>19902</v>
      </c>
      <c r="B82" s="26" t="s">
        <v>405</v>
      </c>
      <c r="C82" s="24">
        <v>0</v>
      </c>
      <c r="D82" s="4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f t="shared" si="1"/>
        <v>0</v>
      </c>
    </row>
    <row r="83" spans="1:16" ht="15">
      <c r="A83" s="25">
        <v>19999</v>
      </c>
      <c r="B83" s="26" t="s">
        <v>406</v>
      </c>
      <c r="C83" s="24">
        <v>0</v>
      </c>
      <c r="D83" s="4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f t="shared" si="1"/>
        <v>0</v>
      </c>
    </row>
    <row r="84" spans="1:16" ht="15">
      <c r="A84" s="25"/>
      <c r="B84" s="26"/>
      <c r="C84" s="26"/>
      <c r="D84" s="4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f t="shared" si="1"/>
        <v>0</v>
      </c>
    </row>
    <row r="85" spans="1:16" ht="15">
      <c r="A85" s="25"/>
      <c r="B85" s="26"/>
      <c r="C85" s="24"/>
      <c r="D85" s="4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f t="shared" si="1"/>
        <v>0</v>
      </c>
    </row>
    <row r="86" spans="1:16" ht="15">
      <c r="A86" s="25"/>
      <c r="B86" s="26"/>
      <c r="C86" s="24"/>
      <c r="D86" s="4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f t="shared" si="1"/>
        <v>0</v>
      </c>
    </row>
    <row r="87" spans="1:16" ht="15">
      <c r="A87" s="19" t="s">
        <v>407</v>
      </c>
      <c r="B87" s="20" t="s">
        <v>408</v>
      </c>
      <c r="C87" s="21">
        <f>SUM(C89:C118)</f>
        <v>46400000</v>
      </c>
      <c r="D87" s="4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f t="shared" si="1"/>
        <v>0</v>
      </c>
    </row>
    <row r="88" spans="1:16" ht="15">
      <c r="A88" s="28">
        <v>201</v>
      </c>
      <c r="B88" s="23" t="s">
        <v>409</v>
      </c>
      <c r="C88" s="24"/>
      <c r="D88" s="4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f t="shared" si="1"/>
        <v>0</v>
      </c>
    </row>
    <row r="89" spans="1:16" ht="15">
      <c r="A89" s="25">
        <v>20101</v>
      </c>
      <c r="B89" s="26" t="s">
        <v>410</v>
      </c>
      <c r="C89" s="24">
        <v>12000000</v>
      </c>
      <c r="D89" s="44"/>
      <c r="E89" s="7">
        <v>16003</v>
      </c>
      <c r="F89" s="7">
        <v>8930</v>
      </c>
      <c r="G89" s="7"/>
      <c r="H89" s="7">
        <f>20000+196543</f>
        <v>216543</v>
      </c>
      <c r="I89" s="7">
        <f>552713+371639+2000000+15000</f>
        <v>2939352</v>
      </c>
      <c r="J89" s="7">
        <f>2000000+428000</f>
        <v>2428000</v>
      </c>
      <c r="K89" s="7"/>
      <c r="L89" s="7"/>
      <c r="M89" s="7"/>
      <c r="N89" s="7"/>
      <c r="O89" s="7"/>
      <c r="P89" s="7">
        <f t="shared" si="1"/>
        <v>5608828</v>
      </c>
    </row>
    <row r="90" spans="1:16" ht="15">
      <c r="A90" s="25">
        <v>20102</v>
      </c>
      <c r="B90" s="26" t="s">
        <v>411</v>
      </c>
      <c r="C90" s="24">
        <v>1000000</v>
      </c>
      <c r="D90" s="44"/>
      <c r="E90" s="7"/>
      <c r="F90" s="7"/>
      <c r="G90" s="7"/>
      <c r="H90" s="7">
        <v>133195.7</v>
      </c>
      <c r="I90" s="7">
        <f>22500+11529+250750</f>
        <v>284779</v>
      </c>
      <c r="J90" s="7"/>
      <c r="K90" s="7"/>
      <c r="L90" s="7"/>
      <c r="M90" s="7"/>
      <c r="N90" s="7"/>
      <c r="O90" s="7"/>
      <c r="P90" s="7">
        <f t="shared" si="1"/>
        <v>417974.7</v>
      </c>
    </row>
    <row r="91" spans="1:16" ht="15">
      <c r="A91" s="25">
        <v>20104</v>
      </c>
      <c r="B91" s="26" t="s">
        <v>412</v>
      </c>
      <c r="C91" s="24">
        <v>10000000</v>
      </c>
      <c r="D91" s="44"/>
      <c r="E91" s="7">
        <v>18700</v>
      </c>
      <c r="F91" s="7">
        <f>21900+10950</f>
        <v>32850</v>
      </c>
      <c r="G91" s="7"/>
      <c r="H91" s="7">
        <f>138855.55+84775+1310097.57+21050.01+897232.9+1570898.75+10660</f>
        <v>4033569.7800000003</v>
      </c>
      <c r="I91" s="7">
        <v>20950</v>
      </c>
      <c r="J91" s="7">
        <v>39480</v>
      </c>
      <c r="K91" s="7"/>
      <c r="L91" s="7"/>
      <c r="M91" s="7"/>
      <c r="N91" s="7"/>
      <c r="O91" s="7"/>
      <c r="P91" s="7">
        <f t="shared" si="1"/>
        <v>4145549.7800000003</v>
      </c>
    </row>
    <row r="92" spans="1:16" ht="15">
      <c r="A92" s="25">
        <v>20199</v>
      </c>
      <c r="B92" s="26" t="s">
        <v>413</v>
      </c>
      <c r="C92" s="24">
        <v>200000</v>
      </c>
      <c r="D92" s="44"/>
      <c r="E92" s="7">
        <v>21600</v>
      </c>
      <c r="F92" s="7">
        <v>8200</v>
      </c>
      <c r="G92" s="7"/>
      <c r="H92" s="7"/>
      <c r="I92" s="7"/>
      <c r="J92" s="7"/>
      <c r="K92" s="7"/>
      <c r="L92" s="7"/>
      <c r="M92" s="7"/>
      <c r="N92" s="7"/>
      <c r="O92" s="7"/>
      <c r="P92" s="7">
        <f t="shared" si="1"/>
        <v>29800</v>
      </c>
    </row>
    <row r="93" spans="1:16" ht="15">
      <c r="A93" s="25"/>
      <c r="B93" s="26"/>
      <c r="C93" s="24"/>
      <c r="D93" s="4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f t="shared" si="1"/>
        <v>0</v>
      </c>
    </row>
    <row r="94" spans="1:16" ht="15">
      <c r="A94" s="25"/>
      <c r="B94" s="26"/>
      <c r="C94" s="24"/>
      <c r="D94" s="4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f t="shared" si="1"/>
        <v>0</v>
      </c>
    </row>
    <row r="95" spans="1:16" ht="15">
      <c r="A95" s="28">
        <v>202</v>
      </c>
      <c r="B95" s="23" t="s">
        <v>414</v>
      </c>
      <c r="C95" s="24"/>
      <c r="D95" s="4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f t="shared" si="1"/>
        <v>0</v>
      </c>
    </row>
    <row r="96" spans="1:16" ht="15">
      <c r="A96" s="25">
        <v>20201</v>
      </c>
      <c r="B96" s="26" t="s">
        <v>415</v>
      </c>
      <c r="C96" s="24">
        <v>0</v>
      </c>
      <c r="D96" s="4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f t="shared" si="1"/>
        <v>0</v>
      </c>
    </row>
    <row r="97" spans="1:16" ht="15">
      <c r="A97" s="25">
        <v>20202</v>
      </c>
      <c r="B97" s="26" t="s">
        <v>416</v>
      </c>
      <c r="C97" s="24">
        <v>0</v>
      </c>
      <c r="D97" s="4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f t="shared" si="1"/>
        <v>0</v>
      </c>
    </row>
    <row r="98" spans="1:16" ht="15">
      <c r="A98" s="25">
        <v>20203</v>
      </c>
      <c r="B98" s="26" t="s">
        <v>417</v>
      </c>
      <c r="C98" s="24">
        <v>1700000</v>
      </c>
      <c r="D98" s="44"/>
      <c r="E98" s="7">
        <v>28644.6</v>
      </c>
      <c r="F98" s="7">
        <f>3000+10644</f>
        <v>13644</v>
      </c>
      <c r="G98" s="7">
        <f>431250+81345+158008</f>
        <v>670603</v>
      </c>
      <c r="H98" s="7">
        <v>24374</v>
      </c>
      <c r="I98" s="7">
        <v>25644.6</v>
      </c>
      <c r="J98" s="7"/>
      <c r="K98" s="7"/>
      <c r="L98" s="7"/>
      <c r="M98" s="7"/>
      <c r="N98" s="7"/>
      <c r="O98" s="7"/>
      <c r="P98" s="7">
        <f t="shared" si="1"/>
        <v>762910.2</v>
      </c>
    </row>
    <row r="99" spans="1:16" ht="15">
      <c r="A99" s="28">
        <v>203</v>
      </c>
      <c r="B99" s="23" t="s">
        <v>418</v>
      </c>
      <c r="C99" s="24"/>
      <c r="D99" s="4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f t="shared" si="1"/>
        <v>0</v>
      </c>
    </row>
    <row r="100" spans="1:16" ht="15">
      <c r="A100" s="25">
        <v>20301</v>
      </c>
      <c r="B100" s="26" t="s">
        <v>419</v>
      </c>
      <c r="C100" s="24">
        <v>200000</v>
      </c>
      <c r="D100" s="44"/>
      <c r="E100" s="7">
        <v>5500</v>
      </c>
      <c r="F100" s="7">
        <v>19485</v>
      </c>
      <c r="G100" s="7"/>
      <c r="H100" s="7">
        <v>21714.75</v>
      </c>
      <c r="I100" s="7">
        <f>32900+21535</f>
        <v>54435</v>
      </c>
      <c r="J100" s="7"/>
      <c r="K100" s="7"/>
      <c r="L100" s="7"/>
      <c r="M100" s="7"/>
      <c r="N100" s="7"/>
      <c r="O100" s="7"/>
      <c r="P100" s="7">
        <f t="shared" si="1"/>
        <v>101134.75</v>
      </c>
    </row>
    <row r="101" spans="1:16" ht="15">
      <c r="A101" s="25">
        <v>20302</v>
      </c>
      <c r="B101" s="26" t="s">
        <v>420</v>
      </c>
      <c r="C101" s="24">
        <v>200000</v>
      </c>
      <c r="D101" s="44"/>
      <c r="E101" s="7">
        <v>9547.45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f t="shared" si="1"/>
        <v>9547.45</v>
      </c>
    </row>
    <row r="102" spans="1:16" ht="15">
      <c r="A102" s="25">
        <v>20303</v>
      </c>
      <c r="B102" s="26" t="s">
        <v>421</v>
      </c>
      <c r="C102" s="24">
        <v>150000</v>
      </c>
      <c r="D102" s="44"/>
      <c r="E102" s="7">
        <v>8100</v>
      </c>
      <c r="F102" s="7">
        <v>8100</v>
      </c>
      <c r="G102" s="7"/>
      <c r="H102" s="7"/>
      <c r="I102" s="7">
        <v>7100</v>
      </c>
      <c r="J102" s="7"/>
      <c r="K102" s="7"/>
      <c r="L102" s="7"/>
      <c r="M102" s="7"/>
      <c r="N102" s="7"/>
      <c r="O102" s="7"/>
      <c r="P102" s="7">
        <f t="shared" si="1"/>
        <v>23300</v>
      </c>
    </row>
    <row r="103" spans="1:16" ht="15">
      <c r="A103" s="25">
        <v>20304</v>
      </c>
      <c r="B103" s="26" t="s">
        <v>422</v>
      </c>
      <c r="C103" s="24">
        <v>4200000</v>
      </c>
      <c r="D103" s="44"/>
      <c r="E103" s="7">
        <v>328652.12</v>
      </c>
      <c r="F103" s="7">
        <f>850+9900</f>
        <v>10750</v>
      </c>
      <c r="G103" s="7"/>
      <c r="H103" s="7">
        <f>27263.32+2050</f>
        <v>29313.32</v>
      </c>
      <c r="I103" s="7">
        <v>18910</v>
      </c>
      <c r="J103" s="7"/>
      <c r="K103" s="7"/>
      <c r="L103" s="7"/>
      <c r="M103" s="7"/>
      <c r="N103" s="7"/>
      <c r="O103" s="7"/>
      <c r="P103" s="7">
        <f t="shared" si="1"/>
        <v>387625.44</v>
      </c>
    </row>
    <row r="104" spans="1:16" ht="15">
      <c r="A104" s="25">
        <v>20305</v>
      </c>
      <c r="B104" s="26" t="s">
        <v>423</v>
      </c>
      <c r="C104" s="24">
        <v>50000</v>
      </c>
      <c r="D104" s="4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f t="shared" si="1"/>
        <v>0</v>
      </c>
    </row>
    <row r="105" spans="1:16" ht="15">
      <c r="A105" s="25">
        <v>20306</v>
      </c>
      <c r="B105" s="26" t="s">
        <v>424</v>
      </c>
      <c r="C105" s="24">
        <v>700000</v>
      </c>
      <c r="D105" s="44"/>
      <c r="E105" s="7"/>
      <c r="F105" s="7">
        <v>32250</v>
      </c>
      <c r="G105" s="7"/>
      <c r="H105" s="7">
        <v>22000</v>
      </c>
      <c r="I105" s="7">
        <v>8625</v>
      </c>
      <c r="J105" s="7">
        <v>9600</v>
      </c>
      <c r="K105" s="7"/>
      <c r="L105" s="7"/>
      <c r="M105" s="7"/>
      <c r="N105" s="7"/>
      <c r="O105" s="7"/>
      <c r="P105" s="7">
        <f t="shared" si="1"/>
        <v>72475</v>
      </c>
    </row>
    <row r="106" spans="1:16" ht="15">
      <c r="A106" s="25">
        <v>20399</v>
      </c>
      <c r="B106" s="26" t="s">
        <v>425</v>
      </c>
      <c r="C106" s="24">
        <v>600000</v>
      </c>
      <c r="D106" s="44"/>
      <c r="E106" s="7">
        <v>10200</v>
      </c>
      <c r="F106" s="7">
        <v>1215</v>
      </c>
      <c r="G106" s="7"/>
      <c r="H106" s="7">
        <f>10000+17000</f>
        <v>27000</v>
      </c>
      <c r="I106" s="7">
        <v>9645</v>
      </c>
      <c r="J106" s="7"/>
      <c r="K106" s="7"/>
      <c r="L106" s="7"/>
      <c r="M106" s="7"/>
      <c r="N106" s="7"/>
      <c r="O106" s="7"/>
      <c r="P106" s="7">
        <f t="shared" si="1"/>
        <v>48060</v>
      </c>
    </row>
    <row r="107" spans="1:16" ht="15">
      <c r="A107" s="28">
        <v>204</v>
      </c>
      <c r="B107" s="23" t="s">
        <v>426</v>
      </c>
      <c r="C107" s="24"/>
      <c r="D107" s="4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f t="shared" si="1"/>
        <v>0</v>
      </c>
    </row>
    <row r="108" spans="1:16" ht="15">
      <c r="A108" s="25">
        <v>20401</v>
      </c>
      <c r="B108" s="26" t="s">
        <v>427</v>
      </c>
      <c r="C108" s="24">
        <v>1000000</v>
      </c>
      <c r="D108" s="44"/>
      <c r="E108" s="7">
        <v>16314</v>
      </c>
      <c r="F108" s="7">
        <v>4000</v>
      </c>
      <c r="G108" s="7"/>
      <c r="H108" s="7">
        <v>13435</v>
      </c>
      <c r="I108" s="7">
        <v>9300</v>
      </c>
      <c r="J108" s="7"/>
      <c r="K108" s="7"/>
      <c r="L108" s="7"/>
      <c r="M108" s="7"/>
      <c r="N108" s="7"/>
      <c r="O108" s="7"/>
      <c r="P108" s="7">
        <f t="shared" si="1"/>
        <v>43049</v>
      </c>
    </row>
    <row r="109" spans="1:16" ht="15">
      <c r="A109" s="25">
        <v>20402</v>
      </c>
      <c r="B109" s="26" t="s">
        <v>428</v>
      </c>
      <c r="C109" s="24">
        <v>2000000</v>
      </c>
      <c r="D109" s="44"/>
      <c r="E109" s="7">
        <v>92868.35</v>
      </c>
      <c r="F109" s="7">
        <f>17580+27600</f>
        <v>45180</v>
      </c>
      <c r="G109" s="7"/>
      <c r="H109" s="7">
        <f>7600+23054.84</f>
        <v>30654.84</v>
      </c>
      <c r="I109" s="7">
        <v>12995</v>
      </c>
      <c r="J109" s="7">
        <v>11700</v>
      </c>
      <c r="K109" s="7"/>
      <c r="L109" s="7"/>
      <c r="M109" s="7"/>
      <c r="N109" s="7"/>
      <c r="O109" s="7"/>
      <c r="P109" s="7">
        <f t="shared" si="1"/>
        <v>193398.19</v>
      </c>
    </row>
    <row r="110" spans="1:16" ht="15">
      <c r="A110" s="28">
        <v>299</v>
      </c>
      <c r="B110" s="23" t="s">
        <v>429</v>
      </c>
      <c r="C110" s="24"/>
      <c r="D110" s="4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f t="shared" si="1"/>
        <v>0</v>
      </c>
    </row>
    <row r="111" spans="1:16" ht="15">
      <c r="A111" s="25">
        <v>29901</v>
      </c>
      <c r="B111" s="26" t="s">
        <v>430</v>
      </c>
      <c r="C111" s="24">
        <f>1300000+4500000-3800000</f>
        <v>2000000</v>
      </c>
      <c r="D111" s="44"/>
      <c r="E111" s="7"/>
      <c r="F111" s="7">
        <f>17275+3100</f>
        <v>20375</v>
      </c>
      <c r="G111" s="7"/>
      <c r="H111" s="7">
        <f>8255+446000</f>
        <v>454255</v>
      </c>
      <c r="I111" s="7">
        <v>455544.93</v>
      </c>
      <c r="J111" s="7">
        <v>3000</v>
      </c>
      <c r="K111" s="7"/>
      <c r="L111" s="7"/>
      <c r="M111" s="7"/>
      <c r="N111" s="7"/>
      <c r="O111" s="7"/>
      <c r="P111" s="7">
        <f t="shared" si="1"/>
        <v>933174.9299999999</v>
      </c>
    </row>
    <row r="112" spans="1:16" ht="15">
      <c r="A112" s="25">
        <v>29902</v>
      </c>
      <c r="B112" s="26" t="s">
        <v>431</v>
      </c>
      <c r="C112" s="24">
        <v>350000</v>
      </c>
      <c r="D112" s="44"/>
      <c r="E112" s="7"/>
      <c r="F112" s="7"/>
      <c r="G112" s="7"/>
      <c r="H112" s="7"/>
      <c r="I112" s="7"/>
      <c r="J112" s="7">
        <v>221743</v>
      </c>
      <c r="K112" s="7"/>
      <c r="L112" s="7"/>
      <c r="M112" s="7"/>
      <c r="N112" s="7"/>
      <c r="O112" s="7"/>
      <c r="P112" s="7">
        <f t="shared" si="1"/>
        <v>221743</v>
      </c>
    </row>
    <row r="113" spans="1:16" ht="15">
      <c r="A113" s="25">
        <v>29903</v>
      </c>
      <c r="B113" s="26" t="s">
        <v>432</v>
      </c>
      <c r="C113" s="24">
        <v>7000000</v>
      </c>
      <c r="D113" s="44">
        <f>500000+252000</f>
        <v>752000</v>
      </c>
      <c r="E113" s="7">
        <v>761655.34</v>
      </c>
      <c r="F113" s="7">
        <v>2495</v>
      </c>
      <c r="G113" s="7"/>
      <c r="H113" s="7">
        <f>4000+1200</f>
        <v>5200</v>
      </c>
      <c r="I113" s="7">
        <f>180000+101239.95+17385+61500</f>
        <v>360124.95</v>
      </c>
      <c r="J113" s="7">
        <f>111942.47+247989+939900+897592.8+414000+35534.38</f>
        <v>2646958.65</v>
      </c>
      <c r="K113" s="7"/>
      <c r="L113" s="7"/>
      <c r="M113" s="7"/>
      <c r="N113" s="7"/>
      <c r="O113" s="7"/>
      <c r="P113" s="7">
        <f t="shared" si="1"/>
        <v>4528433.9399999995</v>
      </c>
    </row>
    <row r="114" spans="1:16" ht="15">
      <c r="A114" s="25">
        <v>29904</v>
      </c>
      <c r="B114" s="26" t="s">
        <v>433</v>
      </c>
      <c r="C114" s="24">
        <v>1350000</v>
      </c>
      <c r="D114" s="44"/>
      <c r="E114" s="7">
        <v>0</v>
      </c>
      <c r="F114" s="7"/>
      <c r="G114" s="7"/>
      <c r="H114" s="7">
        <v>28195</v>
      </c>
      <c r="I114" s="7">
        <f>418200+6495</f>
        <v>424695</v>
      </c>
      <c r="J114" s="7">
        <f>3400+209000</f>
        <v>212400</v>
      </c>
      <c r="K114" s="7"/>
      <c r="L114" s="7"/>
      <c r="M114" s="7"/>
      <c r="N114" s="7"/>
      <c r="O114" s="7"/>
      <c r="P114" s="7">
        <f t="shared" si="1"/>
        <v>665290</v>
      </c>
    </row>
    <row r="115" spans="1:16" ht="15">
      <c r="A115" s="25">
        <v>29905</v>
      </c>
      <c r="B115" s="26" t="s">
        <v>434</v>
      </c>
      <c r="C115" s="24">
        <v>1000000</v>
      </c>
      <c r="D115" s="44"/>
      <c r="E115" s="7">
        <v>7700</v>
      </c>
      <c r="F115" s="7">
        <v>785</v>
      </c>
      <c r="G115" s="7"/>
      <c r="H115" s="7">
        <v>8440</v>
      </c>
      <c r="I115" s="7">
        <v>3850</v>
      </c>
      <c r="J115" s="7">
        <v>12800</v>
      </c>
      <c r="K115" s="7"/>
      <c r="L115" s="7"/>
      <c r="M115" s="7"/>
      <c r="N115" s="7"/>
      <c r="O115" s="7"/>
      <c r="P115" s="7">
        <f t="shared" si="1"/>
        <v>33575</v>
      </c>
    </row>
    <row r="116" spans="1:16" ht="15">
      <c r="A116" s="25">
        <v>29906</v>
      </c>
      <c r="B116" s="26" t="s">
        <v>435</v>
      </c>
      <c r="C116" s="24">
        <v>200000</v>
      </c>
      <c r="D116" s="44">
        <v>56000</v>
      </c>
      <c r="E116" s="7">
        <v>15537.5</v>
      </c>
      <c r="F116" s="7"/>
      <c r="G116" s="7"/>
      <c r="H116" s="7">
        <v>53100</v>
      </c>
      <c r="I116" s="7"/>
      <c r="J116" s="7"/>
      <c r="K116" s="7"/>
      <c r="L116" s="7"/>
      <c r="M116" s="7"/>
      <c r="N116" s="7"/>
      <c r="O116" s="7"/>
      <c r="P116" s="7">
        <f t="shared" si="1"/>
        <v>124637.5</v>
      </c>
    </row>
    <row r="117" spans="1:16" ht="15">
      <c r="A117" s="25">
        <v>29907</v>
      </c>
      <c r="B117" s="26" t="s">
        <v>436</v>
      </c>
      <c r="C117" s="24">
        <v>300000</v>
      </c>
      <c r="D117" s="4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f t="shared" si="1"/>
        <v>0</v>
      </c>
    </row>
    <row r="118" spans="1:16" ht="15">
      <c r="A118" s="25">
        <v>29999</v>
      </c>
      <c r="B118" s="26" t="s">
        <v>437</v>
      </c>
      <c r="C118" s="24">
        <v>200000</v>
      </c>
      <c r="D118" s="44"/>
      <c r="E118" s="7"/>
      <c r="F118" s="7">
        <v>7200</v>
      </c>
      <c r="G118" s="7"/>
      <c r="H118" s="7">
        <v>35990</v>
      </c>
      <c r="I118" s="7">
        <f>25000+800</f>
        <v>25800</v>
      </c>
      <c r="J118" s="7"/>
      <c r="K118" s="7"/>
      <c r="L118" s="7"/>
      <c r="M118" s="7"/>
      <c r="N118" s="7"/>
      <c r="O118" s="7"/>
      <c r="P118" s="7">
        <f t="shared" si="1"/>
        <v>68990</v>
      </c>
    </row>
    <row r="119" spans="1:16" ht="15">
      <c r="A119" s="25"/>
      <c r="B119" s="26"/>
      <c r="C119" s="24"/>
      <c r="D119" s="4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f t="shared" si="1"/>
        <v>0</v>
      </c>
    </row>
    <row r="120" spans="1:16" ht="15">
      <c r="A120" s="19" t="s">
        <v>438</v>
      </c>
      <c r="B120" s="20" t="s">
        <v>439</v>
      </c>
      <c r="C120" s="21">
        <f>SUM(C122:C136)</f>
        <v>218551000</v>
      </c>
      <c r="D120" s="4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f t="shared" si="1"/>
        <v>0</v>
      </c>
    </row>
    <row r="121" spans="1:16" ht="15">
      <c r="A121" s="28">
        <v>501</v>
      </c>
      <c r="B121" s="23" t="s">
        <v>440</v>
      </c>
      <c r="C121" s="24"/>
      <c r="D121" s="4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f t="shared" si="1"/>
        <v>0</v>
      </c>
    </row>
    <row r="122" spans="1:16" ht="15">
      <c r="A122" s="25">
        <v>50102</v>
      </c>
      <c r="B122" s="26" t="s">
        <v>441</v>
      </c>
      <c r="C122" s="24">
        <v>50000000</v>
      </c>
      <c r="D122" s="4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>
        <f t="shared" si="1"/>
        <v>0</v>
      </c>
    </row>
    <row r="123" spans="1:16" ht="15">
      <c r="A123" s="25">
        <v>50103</v>
      </c>
      <c r="B123" s="26" t="s">
        <v>442</v>
      </c>
      <c r="C123" s="24">
        <v>2000000</v>
      </c>
      <c r="D123" s="44"/>
      <c r="E123" s="7"/>
      <c r="F123" s="7"/>
      <c r="G123" s="7"/>
      <c r="H123" s="7">
        <v>30500.21</v>
      </c>
      <c r="I123" s="7"/>
      <c r="J123" s="7"/>
      <c r="K123" s="7"/>
      <c r="L123" s="7"/>
      <c r="M123" s="7"/>
      <c r="N123" s="7"/>
      <c r="O123" s="7"/>
      <c r="P123" s="7">
        <f t="shared" si="1"/>
        <v>30500.21</v>
      </c>
    </row>
    <row r="124" spans="1:16" ht="15">
      <c r="A124" s="25">
        <v>50104</v>
      </c>
      <c r="B124" s="26" t="s">
        <v>443</v>
      </c>
      <c r="C124" s="24">
        <v>25500000</v>
      </c>
      <c r="D124" s="44"/>
      <c r="E124" s="7"/>
      <c r="F124" s="7"/>
      <c r="G124" s="7"/>
      <c r="H124" s="7"/>
      <c r="I124" s="7">
        <f>279000+247815</f>
        <v>526815</v>
      </c>
      <c r="J124" s="7">
        <v>78000</v>
      </c>
      <c r="K124" s="7"/>
      <c r="L124" s="7"/>
      <c r="M124" s="7"/>
      <c r="N124" s="7"/>
      <c r="O124" s="7"/>
      <c r="P124" s="7">
        <f t="shared" si="1"/>
        <v>604815</v>
      </c>
    </row>
    <row r="125" spans="1:16" ht="15">
      <c r="A125" s="25">
        <v>50105</v>
      </c>
      <c r="B125" s="26" t="s">
        <v>444</v>
      </c>
      <c r="C125" s="24">
        <v>55200000</v>
      </c>
      <c r="D125" s="44"/>
      <c r="E125" s="7"/>
      <c r="F125" s="7"/>
      <c r="G125" s="7"/>
      <c r="H125" s="7">
        <v>7315571.55</v>
      </c>
      <c r="I125" s="7"/>
      <c r="J125" s="7"/>
      <c r="K125" s="7"/>
      <c r="L125" s="7"/>
      <c r="M125" s="7"/>
      <c r="N125" s="7"/>
      <c r="O125" s="7"/>
      <c r="P125" s="7">
        <f t="shared" si="1"/>
        <v>7315571.55</v>
      </c>
    </row>
    <row r="126" spans="1:16" ht="15">
      <c r="A126" s="25">
        <v>50106</v>
      </c>
      <c r="B126" s="26" t="s">
        <v>445</v>
      </c>
      <c r="C126" s="24">
        <v>500000</v>
      </c>
      <c r="D126" s="4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>
        <f t="shared" si="1"/>
        <v>0</v>
      </c>
    </row>
    <row r="127" spans="1:16" ht="15">
      <c r="A127" s="25">
        <v>50107</v>
      </c>
      <c r="B127" s="26" t="s">
        <v>446</v>
      </c>
      <c r="C127" s="24">
        <v>0</v>
      </c>
      <c r="D127" s="4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f t="shared" si="1"/>
        <v>0</v>
      </c>
    </row>
    <row r="128" spans="1:16" ht="15">
      <c r="A128" s="25">
        <v>50199</v>
      </c>
      <c r="B128" s="26" t="s">
        <v>447</v>
      </c>
      <c r="C128" s="24">
        <v>3351000</v>
      </c>
      <c r="D128" s="4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>
        <f t="shared" si="1"/>
        <v>0</v>
      </c>
    </row>
    <row r="129" spans="1:16" ht="15">
      <c r="A129" s="28">
        <v>502</v>
      </c>
      <c r="B129" s="23" t="s">
        <v>448</v>
      </c>
      <c r="C129" s="24"/>
      <c r="D129" s="4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>
        <f t="shared" si="1"/>
        <v>0</v>
      </c>
    </row>
    <row r="130" spans="1:16" ht="15">
      <c r="A130" s="25">
        <v>50201</v>
      </c>
      <c r="B130" s="26" t="s">
        <v>449</v>
      </c>
      <c r="C130" s="24">
        <v>30000000</v>
      </c>
      <c r="D130" s="4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>
        <f t="shared" si="1"/>
        <v>0</v>
      </c>
    </row>
    <row r="131" spans="1:16" ht="15">
      <c r="A131" s="25">
        <v>50207</v>
      </c>
      <c r="B131" s="26" t="s">
        <v>450</v>
      </c>
      <c r="C131" s="24">
        <v>45000000</v>
      </c>
      <c r="D131" s="4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>
        <f t="shared" si="1"/>
        <v>0</v>
      </c>
    </row>
    <row r="132" spans="1:16" ht="15">
      <c r="A132" s="25">
        <v>50299</v>
      </c>
      <c r="B132" s="26" t="s">
        <v>451</v>
      </c>
      <c r="C132" s="24">
        <v>0</v>
      </c>
      <c r="D132" s="4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f t="shared" si="1"/>
        <v>0</v>
      </c>
    </row>
    <row r="133" spans="1:16" ht="15">
      <c r="A133" s="25"/>
      <c r="B133" s="26"/>
      <c r="C133" s="24"/>
      <c r="D133" s="4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f t="shared" si="1"/>
        <v>0</v>
      </c>
    </row>
    <row r="134" spans="1:16" ht="15">
      <c r="A134" s="28">
        <v>599</v>
      </c>
      <c r="B134" s="23" t="s">
        <v>452</v>
      </c>
      <c r="C134" s="24"/>
      <c r="D134" s="4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f aca="true" t="shared" si="2" ref="P134:P151">SUM(D134:O134)</f>
        <v>0</v>
      </c>
    </row>
    <row r="135" spans="1:16" ht="15">
      <c r="A135" s="25">
        <v>59903</v>
      </c>
      <c r="B135" s="26" t="s">
        <v>453</v>
      </c>
      <c r="C135" s="24">
        <v>7000000</v>
      </c>
      <c r="D135" s="4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f t="shared" si="2"/>
        <v>0</v>
      </c>
    </row>
    <row r="136" spans="1:16" ht="15">
      <c r="A136" s="25">
        <v>59999</v>
      </c>
      <c r="B136" s="26" t="s">
        <v>454</v>
      </c>
      <c r="C136" s="24">
        <v>0</v>
      </c>
      <c r="D136" s="4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f t="shared" si="2"/>
        <v>0</v>
      </c>
    </row>
    <row r="137" spans="1:16" ht="15">
      <c r="A137" s="25"/>
      <c r="B137" s="26"/>
      <c r="C137" s="24"/>
      <c r="D137" s="4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f t="shared" si="2"/>
        <v>0</v>
      </c>
    </row>
    <row r="138" spans="1:16" ht="15">
      <c r="A138" s="19" t="s">
        <v>455</v>
      </c>
      <c r="B138" s="20" t="s">
        <v>456</v>
      </c>
      <c r="C138" s="21">
        <f>SUM(C140:C153)</f>
        <v>89193000</v>
      </c>
      <c r="D138" s="4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f t="shared" si="2"/>
        <v>0</v>
      </c>
    </row>
    <row r="139" spans="1:16" ht="15">
      <c r="A139" s="28">
        <v>601</v>
      </c>
      <c r="B139" s="23" t="s">
        <v>457</v>
      </c>
      <c r="C139" s="24"/>
      <c r="D139" s="4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f t="shared" si="2"/>
        <v>0</v>
      </c>
    </row>
    <row r="140" spans="1:16" ht="15">
      <c r="A140" s="25">
        <v>60103</v>
      </c>
      <c r="B140" s="26" t="s">
        <v>458</v>
      </c>
      <c r="C140" s="24">
        <v>50193000</v>
      </c>
      <c r="D140" s="44">
        <v>1862177.74</v>
      </c>
      <c r="E140" s="7">
        <v>4062270.13</v>
      </c>
      <c r="F140" s="7">
        <f>6693054.32+1361389.91+11588669.93</f>
        <v>19643114.16</v>
      </c>
      <c r="G140" s="7">
        <v>4031616.64</v>
      </c>
      <c r="H140" s="7">
        <f>3375184.06+686520.54+3359494.35+683417.05</f>
        <v>8104616</v>
      </c>
      <c r="I140" s="7"/>
      <c r="J140" s="7">
        <f>3345293.74+680554.02</f>
        <v>4025847.7600000002</v>
      </c>
      <c r="K140" s="7"/>
      <c r="L140" s="7"/>
      <c r="M140" s="7"/>
      <c r="N140" s="7"/>
      <c r="O140" s="7"/>
      <c r="P140" s="7">
        <f t="shared" si="2"/>
        <v>41729642.43</v>
      </c>
    </row>
    <row r="141" spans="1:16" ht="15">
      <c r="A141" s="28">
        <v>602</v>
      </c>
      <c r="B141" s="23" t="s">
        <v>459</v>
      </c>
      <c r="C141" s="24">
        <v>0</v>
      </c>
      <c r="D141" s="4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f t="shared" si="2"/>
        <v>0</v>
      </c>
    </row>
    <row r="142" spans="1:16" ht="15">
      <c r="A142" s="25">
        <v>60201</v>
      </c>
      <c r="B142" s="26" t="s">
        <v>460</v>
      </c>
      <c r="C142" s="24">
        <f>2000000-1000000-1000000</f>
        <v>0</v>
      </c>
      <c r="D142" s="4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2"/>
        <v>0</v>
      </c>
    </row>
    <row r="143" spans="1:16" ht="15">
      <c r="A143" s="25">
        <v>60202</v>
      </c>
      <c r="B143" s="26" t="s">
        <v>461</v>
      </c>
      <c r="C143" s="24">
        <v>500000</v>
      </c>
      <c r="D143" s="4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f t="shared" si="2"/>
        <v>0</v>
      </c>
    </row>
    <row r="144" spans="1:16" ht="15">
      <c r="A144" s="25">
        <v>60299</v>
      </c>
      <c r="B144" s="26" t="s">
        <v>462</v>
      </c>
      <c r="C144" s="24">
        <v>0</v>
      </c>
      <c r="D144" s="4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f t="shared" si="2"/>
        <v>0</v>
      </c>
    </row>
    <row r="145" spans="1:16" ht="15">
      <c r="A145" s="28">
        <v>603</v>
      </c>
      <c r="B145" s="23" t="s">
        <v>463</v>
      </c>
      <c r="C145" s="24"/>
      <c r="D145" s="4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f t="shared" si="2"/>
        <v>0</v>
      </c>
    </row>
    <row r="146" spans="1:16" ht="15">
      <c r="A146" s="25">
        <v>60301</v>
      </c>
      <c r="B146" s="26" t="s">
        <v>464</v>
      </c>
      <c r="C146" s="24">
        <v>18000000</v>
      </c>
      <c r="D146" s="44">
        <v>551112.9</v>
      </c>
      <c r="E146" s="7"/>
      <c r="F146" s="7"/>
      <c r="G146" s="7"/>
      <c r="H146" s="7">
        <f>401609.3+5955969.83</f>
        <v>6357579.13</v>
      </c>
      <c r="I146" s="7"/>
      <c r="J146" s="7"/>
      <c r="K146" s="7"/>
      <c r="L146" s="7"/>
      <c r="M146" s="7"/>
      <c r="N146" s="7"/>
      <c r="O146" s="7"/>
      <c r="P146" s="7">
        <f t="shared" si="2"/>
        <v>6908692.03</v>
      </c>
    </row>
    <row r="147" spans="1:16" ht="15">
      <c r="A147" s="25">
        <v>60399</v>
      </c>
      <c r="B147" s="26" t="s">
        <v>465</v>
      </c>
      <c r="C147" s="24">
        <v>17000000</v>
      </c>
      <c r="D147" s="44">
        <f>636306+426880</f>
        <v>1063186</v>
      </c>
      <c r="E147" s="7">
        <v>1710651.24</v>
      </c>
      <c r="F147" s="7">
        <f>1168285+839075</f>
        <v>2007360</v>
      </c>
      <c r="G147" s="7">
        <f>1023373+1052809</f>
        <v>2076182</v>
      </c>
      <c r="H147" s="7">
        <f>1574385+1439076</f>
        <v>3013461</v>
      </c>
      <c r="I147" s="7">
        <f>1388040.33+459641</f>
        <v>1847681.33</v>
      </c>
      <c r="J147" s="7">
        <f>783026+672961</f>
        <v>1455987</v>
      </c>
      <c r="K147" s="7"/>
      <c r="L147" s="7"/>
      <c r="M147" s="7"/>
      <c r="N147" s="7"/>
      <c r="O147" s="7"/>
      <c r="P147" s="7">
        <f t="shared" si="2"/>
        <v>13174508.57</v>
      </c>
    </row>
    <row r="148" spans="1:16" ht="15">
      <c r="A148" s="28">
        <v>604</v>
      </c>
      <c r="B148" s="23" t="s">
        <v>466</v>
      </c>
      <c r="C148" s="24" t="s">
        <v>207</v>
      </c>
      <c r="D148" s="44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>
        <f t="shared" si="2"/>
        <v>0</v>
      </c>
    </row>
    <row r="149" spans="1:16" ht="15">
      <c r="A149" s="25">
        <v>60402</v>
      </c>
      <c r="B149" s="26" t="s">
        <v>467</v>
      </c>
      <c r="C149" s="24">
        <v>0</v>
      </c>
      <c r="D149" s="44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>
        <f t="shared" si="2"/>
        <v>0</v>
      </c>
    </row>
    <row r="150" spans="1:16" ht="15">
      <c r="A150" s="28">
        <v>606</v>
      </c>
      <c r="B150" s="23" t="s">
        <v>468</v>
      </c>
      <c r="C150" s="24"/>
      <c r="D150" s="4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f t="shared" si="2"/>
        <v>0</v>
      </c>
    </row>
    <row r="151" spans="1:16" ht="15">
      <c r="A151" s="25">
        <v>60601</v>
      </c>
      <c r="B151" s="26" t="s">
        <v>469</v>
      </c>
      <c r="C151" s="24">
        <v>500000</v>
      </c>
      <c r="D151" s="4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f t="shared" si="2"/>
        <v>0</v>
      </c>
    </row>
    <row r="152" spans="1:16" ht="15">
      <c r="A152" s="28">
        <v>607</v>
      </c>
      <c r="B152" s="23" t="s">
        <v>472</v>
      </c>
      <c r="C152" s="24"/>
      <c r="D152" s="4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25">
        <v>60701</v>
      </c>
      <c r="B153" s="26" t="s">
        <v>473</v>
      </c>
      <c r="C153" s="24">
        <v>3000000</v>
      </c>
      <c r="D153" s="42"/>
      <c r="E153" s="7">
        <v>2810465.85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4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474</v>
      </c>
      <c r="C155" s="30">
        <f>+C138+C120+C87+C31+C4</f>
        <v>6134000000</v>
      </c>
      <c r="D155" s="45">
        <f>SUM(D4:D153)</f>
        <v>626071714.8599999</v>
      </c>
      <c r="E155" s="45">
        <f>SUM(E4:E153)</f>
        <v>438576852.99</v>
      </c>
      <c r="F155" s="31">
        <f aca="true" t="shared" si="3" ref="F155:O155">SUM(F6:F151)</f>
        <v>390293949.24000007</v>
      </c>
      <c r="G155" s="31">
        <f t="shared" si="3"/>
        <v>359786996.72</v>
      </c>
      <c r="H155" s="31">
        <f t="shared" si="3"/>
        <v>401689846.21</v>
      </c>
      <c r="I155" s="31">
        <f t="shared" si="3"/>
        <v>381604433.01</v>
      </c>
      <c r="J155" s="31">
        <f t="shared" si="3"/>
        <v>380199316.78999996</v>
      </c>
      <c r="K155" s="31">
        <f>SUM(K6:K154)</f>
        <v>0</v>
      </c>
      <c r="L155" s="31">
        <f t="shared" si="3"/>
        <v>0</v>
      </c>
      <c r="M155" s="31">
        <f t="shared" si="3"/>
        <v>0</v>
      </c>
      <c r="N155" s="31">
        <f t="shared" si="3"/>
        <v>0</v>
      </c>
      <c r="O155" s="31">
        <f t="shared" si="3"/>
        <v>0</v>
      </c>
      <c r="P155" s="7">
        <f>SUM(D155:O155)</f>
        <v>2978223109.8199997</v>
      </c>
    </row>
    <row r="156" spans="3:16" ht="15">
      <c r="C156" s="32"/>
      <c r="D156" s="44" t="s">
        <v>207</v>
      </c>
      <c r="E156" s="7" t="s">
        <v>207</v>
      </c>
      <c r="F156" s="7"/>
      <c r="G156" s="7"/>
      <c r="H156" s="7" t="s">
        <v>207</v>
      </c>
      <c r="I156" s="7" t="s">
        <v>207</v>
      </c>
      <c r="J156" s="7" t="s">
        <v>207</v>
      </c>
      <c r="K156" s="7"/>
      <c r="L156" s="7" t="s">
        <v>207</v>
      </c>
      <c r="M156" s="7" t="s">
        <v>207</v>
      </c>
      <c r="N156" s="7"/>
      <c r="O156" s="7"/>
      <c r="P156" s="7"/>
    </row>
    <row r="157" spans="3:16" ht="15">
      <c r="C157" s="32"/>
      <c r="D157" s="44" t="s">
        <v>207</v>
      </c>
      <c r="E157" s="7" t="s">
        <v>207</v>
      </c>
      <c r="F157" s="7" t="s">
        <v>207</v>
      </c>
      <c r="G157" s="7" t="s">
        <v>207</v>
      </c>
      <c r="H157" s="7" t="s">
        <v>207</v>
      </c>
      <c r="I157" s="7" t="s">
        <v>207</v>
      </c>
      <c r="J157" s="7" t="s">
        <v>207</v>
      </c>
      <c r="K157" s="7" t="s">
        <v>207</v>
      </c>
      <c r="L157" s="7" t="s">
        <v>207</v>
      </c>
      <c r="M157" s="7" t="s">
        <v>207</v>
      </c>
      <c r="N157" s="7" t="s">
        <v>207</v>
      </c>
      <c r="O157" s="7" t="s">
        <v>207</v>
      </c>
      <c r="P157" s="33">
        <f>SUM(D155:O155)</f>
        <v>2978223109.8199997</v>
      </c>
    </row>
    <row r="160" ht="15">
      <c r="P160" s="3" t="s">
        <v>207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7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50.8515625" style="0" customWidth="1"/>
    <col min="5" max="5" width="173.57421875" style="0" bestFit="1" customWidth="1"/>
  </cols>
  <sheetData>
    <row r="1" spans="1:6" ht="15">
      <c r="A1" s="34" t="s">
        <v>482</v>
      </c>
      <c r="B1" s="35"/>
      <c r="C1" s="9"/>
      <c r="D1" s="9"/>
      <c r="E1" s="9"/>
      <c r="F1" s="7"/>
    </row>
    <row r="2" spans="1:6" ht="15">
      <c r="A2" s="29" t="s">
        <v>5</v>
      </c>
      <c r="B2" s="35"/>
      <c r="C2" s="9"/>
      <c r="D2" s="9"/>
      <c r="E2" s="39"/>
      <c r="F2" s="7"/>
    </row>
    <row r="3" spans="1:6" ht="15">
      <c r="A3" s="29" t="s">
        <v>483</v>
      </c>
      <c r="B3" s="35"/>
      <c r="C3" s="9"/>
      <c r="D3" s="9"/>
      <c r="E3" s="39"/>
      <c r="F3" s="7"/>
    </row>
    <row r="4" spans="1:23" ht="15">
      <c r="A4" s="36" t="s">
        <v>207</v>
      </c>
      <c r="B4" s="37" t="s">
        <v>207</v>
      </c>
      <c r="C4" s="9"/>
      <c r="D4" s="9"/>
      <c r="E4" s="39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6" t="s">
        <v>6</v>
      </c>
      <c r="B5" s="37">
        <v>42919</v>
      </c>
      <c r="C5" s="38" t="s">
        <v>484</v>
      </c>
      <c r="D5" s="9" t="s">
        <v>506</v>
      </c>
      <c r="E5" s="40" t="s">
        <v>7</v>
      </c>
      <c r="F5" s="41">
        <v>2306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6" t="s">
        <v>8</v>
      </c>
      <c r="B6" s="37">
        <v>42920</v>
      </c>
      <c r="C6" s="38" t="s">
        <v>484</v>
      </c>
      <c r="D6" s="40" t="s">
        <v>9</v>
      </c>
      <c r="E6" s="39" t="s">
        <v>10</v>
      </c>
      <c r="F6" s="41">
        <v>21649.010000000002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6" t="s">
        <v>11</v>
      </c>
      <c r="B7" s="37">
        <v>42921</v>
      </c>
      <c r="C7" s="38" t="s">
        <v>484</v>
      </c>
      <c r="D7" s="40" t="s">
        <v>500</v>
      </c>
      <c r="E7" s="39" t="s">
        <v>12</v>
      </c>
      <c r="F7" s="41">
        <v>53400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6" t="s">
        <v>13</v>
      </c>
      <c r="B8" s="37">
        <v>42921</v>
      </c>
      <c r="C8" s="38" t="s">
        <v>484</v>
      </c>
      <c r="D8" s="40" t="s">
        <v>487</v>
      </c>
      <c r="E8" s="39" t="s">
        <v>14</v>
      </c>
      <c r="F8" s="41">
        <v>176000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6" t="s">
        <v>15</v>
      </c>
      <c r="B9" s="37">
        <v>42926</v>
      </c>
      <c r="C9" s="38" t="s">
        <v>484</v>
      </c>
      <c r="D9" s="40" t="s">
        <v>16</v>
      </c>
      <c r="E9" s="39" t="s">
        <v>17</v>
      </c>
      <c r="F9" s="41">
        <v>107940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6" t="s">
        <v>18</v>
      </c>
      <c r="B10" s="37">
        <v>42926</v>
      </c>
      <c r="C10" s="38" t="s">
        <v>484</v>
      </c>
      <c r="D10" s="40" t="s">
        <v>500</v>
      </c>
      <c r="E10" s="39" t="s">
        <v>19</v>
      </c>
      <c r="F10" s="41">
        <v>64370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6" t="s">
        <v>20</v>
      </c>
      <c r="B11" s="37">
        <v>42927</v>
      </c>
      <c r="C11" s="38" t="s">
        <v>484</v>
      </c>
      <c r="D11" s="40" t="s">
        <v>21</v>
      </c>
      <c r="E11" s="39" t="s">
        <v>22</v>
      </c>
      <c r="F11" s="41">
        <v>37750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6" t="s">
        <v>23</v>
      </c>
      <c r="B12" s="37">
        <v>42928</v>
      </c>
      <c r="C12" s="38" t="s">
        <v>484</v>
      </c>
      <c r="D12" s="40" t="s">
        <v>24</v>
      </c>
      <c r="E12" s="9" t="s">
        <v>25</v>
      </c>
      <c r="F12" s="41">
        <v>42450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6" t="s">
        <v>26</v>
      </c>
      <c r="B13" s="37">
        <v>42928</v>
      </c>
      <c r="C13" s="38" t="s">
        <v>484</v>
      </c>
      <c r="D13" s="9" t="s">
        <v>506</v>
      </c>
      <c r="E13" s="40" t="s">
        <v>507</v>
      </c>
      <c r="F13" s="41">
        <v>50000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6" t="s">
        <v>27</v>
      </c>
      <c r="B14" s="37">
        <v>42929</v>
      </c>
      <c r="C14" s="38" t="s">
        <v>484</v>
      </c>
      <c r="D14" s="40" t="s">
        <v>28</v>
      </c>
      <c r="E14" s="39" t="s">
        <v>29</v>
      </c>
      <c r="F14" s="41">
        <v>35484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6" t="s">
        <v>30</v>
      </c>
      <c r="B15" s="37">
        <v>42929</v>
      </c>
      <c r="C15" s="38" t="s">
        <v>484</v>
      </c>
      <c r="D15" s="40" t="s">
        <v>500</v>
      </c>
      <c r="E15" s="39" t="s">
        <v>31</v>
      </c>
      <c r="F15" s="41">
        <v>166000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6" t="s">
        <v>32</v>
      </c>
      <c r="B16" s="37">
        <v>42929</v>
      </c>
      <c r="C16" s="38" t="s">
        <v>484</v>
      </c>
      <c r="D16" s="40" t="s">
        <v>500</v>
      </c>
      <c r="E16" s="39" t="s">
        <v>33</v>
      </c>
      <c r="F16" s="41">
        <v>83455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6" t="s">
        <v>34</v>
      </c>
      <c r="B17" s="37">
        <v>42930</v>
      </c>
      <c r="C17" s="38" t="s">
        <v>484</v>
      </c>
      <c r="D17" s="40" t="s">
        <v>35</v>
      </c>
      <c r="E17" s="40" t="s">
        <v>36</v>
      </c>
      <c r="F17" s="41">
        <v>68700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6" t="s">
        <v>37</v>
      </c>
      <c r="B18" s="37">
        <v>42930</v>
      </c>
      <c r="C18" s="38" t="s">
        <v>484</v>
      </c>
      <c r="D18" s="40" t="s">
        <v>508</v>
      </c>
      <c r="E18" s="40" t="s">
        <v>36</v>
      </c>
      <c r="F18" s="41">
        <v>68700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6" t="s">
        <v>38</v>
      </c>
      <c r="B19" s="37">
        <v>42933</v>
      </c>
      <c r="C19" s="38" t="s">
        <v>484</v>
      </c>
      <c r="D19" s="40" t="s">
        <v>501</v>
      </c>
      <c r="E19" s="40" t="s">
        <v>39</v>
      </c>
      <c r="F19" s="41">
        <v>37550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6" t="s">
        <v>40</v>
      </c>
      <c r="B20" s="37">
        <v>42934</v>
      </c>
      <c r="C20" s="38" t="s">
        <v>484</v>
      </c>
      <c r="D20" s="9" t="s">
        <v>488</v>
      </c>
      <c r="E20" s="40" t="s">
        <v>41</v>
      </c>
      <c r="F20" s="41">
        <v>22400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6" t="s">
        <v>42</v>
      </c>
      <c r="B21" s="37">
        <v>42934</v>
      </c>
      <c r="C21" s="38" t="s">
        <v>484</v>
      </c>
      <c r="D21" s="9" t="s">
        <v>43</v>
      </c>
      <c r="E21" s="40" t="s">
        <v>44</v>
      </c>
      <c r="F21" s="41">
        <v>25900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6" t="s">
        <v>45</v>
      </c>
      <c r="B22" s="37">
        <v>42935</v>
      </c>
      <c r="C22" s="38" t="s">
        <v>484</v>
      </c>
      <c r="D22" s="40" t="s">
        <v>500</v>
      </c>
      <c r="E22" s="40" t="s">
        <v>46</v>
      </c>
      <c r="F22" s="41">
        <v>150000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6" t="s">
        <v>47</v>
      </c>
      <c r="B23" s="37">
        <v>42936</v>
      </c>
      <c r="C23" s="38" t="s">
        <v>484</v>
      </c>
      <c r="D23" s="40" t="s">
        <v>509</v>
      </c>
      <c r="E23" s="40" t="s">
        <v>48</v>
      </c>
      <c r="F23" s="41">
        <v>75950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6" t="s">
        <v>49</v>
      </c>
      <c r="B24" s="37">
        <v>42937</v>
      </c>
      <c r="C24" s="38" t="s">
        <v>484</v>
      </c>
      <c r="D24" s="40" t="s">
        <v>50</v>
      </c>
      <c r="E24" s="40" t="s">
        <v>51</v>
      </c>
      <c r="F24" s="41">
        <v>54650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6" t="s">
        <v>52</v>
      </c>
      <c r="B25" s="37">
        <v>42937</v>
      </c>
      <c r="C25" s="38" t="s">
        <v>484</v>
      </c>
      <c r="D25" s="40" t="s">
        <v>486</v>
      </c>
      <c r="E25" s="40" t="s">
        <v>53</v>
      </c>
      <c r="F25" s="41">
        <v>39900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6" t="s">
        <v>54</v>
      </c>
      <c r="B26" s="37">
        <v>42942</v>
      </c>
      <c r="C26" s="38" t="s">
        <v>484</v>
      </c>
      <c r="D26" s="40" t="s">
        <v>55</v>
      </c>
      <c r="E26" s="40" t="s">
        <v>56</v>
      </c>
      <c r="F26" s="41">
        <v>63750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6" t="s">
        <v>57</v>
      </c>
      <c r="B27" s="37">
        <v>42942</v>
      </c>
      <c r="C27" s="38" t="s">
        <v>484</v>
      </c>
      <c r="D27" s="40" t="s">
        <v>58</v>
      </c>
      <c r="E27" s="40" t="s">
        <v>59</v>
      </c>
      <c r="F27" s="41">
        <v>63750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6" t="s">
        <v>60</v>
      </c>
      <c r="B28" s="37">
        <v>42942</v>
      </c>
      <c r="C28" s="38" t="s">
        <v>484</v>
      </c>
      <c r="D28" s="40" t="s">
        <v>61</v>
      </c>
      <c r="E28" s="40" t="s">
        <v>62</v>
      </c>
      <c r="F28" s="41">
        <v>63750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6" t="s">
        <v>63</v>
      </c>
      <c r="B29" s="37">
        <v>42942</v>
      </c>
      <c r="C29" s="38" t="s">
        <v>484</v>
      </c>
      <c r="D29" s="40" t="s">
        <v>64</v>
      </c>
      <c r="E29" s="40" t="s">
        <v>62</v>
      </c>
      <c r="F29" s="41">
        <v>63750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6" t="s">
        <v>65</v>
      </c>
      <c r="B30" s="37">
        <v>42943</v>
      </c>
      <c r="C30" s="38" t="s">
        <v>484</v>
      </c>
      <c r="D30" s="40" t="s">
        <v>500</v>
      </c>
      <c r="E30" s="40" t="s">
        <v>66</v>
      </c>
      <c r="F30" s="41">
        <v>194000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6" t="s">
        <v>67</v>
      </c>
      <c r="B31" s="37">
        <v>42943</v>
      </c>
      <c r="C31" s="38" t="s">
        <v>484</v>
      </c>
      <c r="D31" s="40" t="s">
        <v>500</v>
      </c>
      <c r="E31" s="40" t="s">
        <v>68</v>
      </c>
      <c r="F31" s="41">
        <v>78555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6" t="s">
        <v>69</v>
      </c>
      <c r="B32" s="37">
        <v>42944</v>
      </c>
      <c r="C32" s="38" t="s">
        <v>484</v>
      </c>
      <c r="D32" s="9" t="s">
        <v>70</v>
      </c>
      <c r="E32" s="40" t="s">
        <v>71</v>
      </c>
      <c r="F32" s="41">
        <v>45920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6" t="s">
        <v>72</v>
      </c>
      <c r="B33" s="37">
        <v>42944</v>
      </c>
      <c r="C33" s="38" t="s">
        <v>484</v>
      </c>
      <c r="D33" s="40" t="s">
        <v>73</v>
      </c>
      <c r="E33" s="39" t="s">
        <v>74</v>
      </c>
      <c r="F33" s="41">
        <v>43700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6" t="s">
        <v>75</v>
      </c>
      <c r="B34" s="37">
        <v>42944</v>
      </c>
      <c r="C34" s="38" t="s">
        <v>484</v>
      </c>
      <c r="D34" s="9" t="s">
        <v>76</v>
      </c>
      <c r="E34" s="40" t="s">
        <v>77</v>
      </c>
      <c r="F34" s="41">
        <v>54000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6" t="s">
        <v>78</v>
      </c>
      <c r="B35" s="37">
        <v>42947</v>
      </c>
      <c r="C35" s="38" t="s">
        <v>484</v>
      </c>
      <c r="D35" s="40" t="s">
        <v>485</v>
      </c>
      <c r="E35" s="39" t="s">
        <v>79</v>
      </c>
      <c r="F35" s="41">
        <v>96035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6" t="s">
        <v>186</v>
      </c>
      <c r="B36" s="37">
        <v>42914</v>
      </c>
      <c r="C36" s="38" t="s">
        <v>484</v>
      </c>
      <c r="D36" s="9" t="s">
        <v>192</v>
      </c>
      <c r="E36" s="39" t="s">
        <v>187</v>
      </c>
      <c r="F36" s="41">
        <v>61500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6" t="s">
        <v>80</v>
      </c>
      <c r="B37" s="37">
        <v>42920</v>
      </c>
      <c r="C37" s="38" t="s">
        <v>484</v>
      </c>
      <c r="D37" s="9" t="s">
        <v>0</v>
      </c>
      <c r="E37" s="39" t="s">
        <v>81</v>
      </c>
      <c r="F37" s="41">
        <v>61100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6" t="s">
        <v>80</v>
      </c>
      <c r="B38" s="37">
        <v>42920</v>
      </c>
      <c r="C38" s="38" t="s">
        <v>484</v>
      </c>
      <c r="D38" s="9" t="s">
        <v>491</v>
      </c>
      <c r="E38" s="39" t="s">
        <v>82</v>
      </c>
      <c r="F38" s="41">
        <v>80000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6" t="s">
        <v>80</v>
      </c>
      <c r="B39" s="37">
        <v>42920</v>
      </c>
      <c r="C39" s="38" t="s">
        <v>484</v>
      </c>
      <c r="D39" s="9" t="s">
        <v>491</v>
      </c>
      <c r="E39" s="39" t="s">
        <v>83</v>
      </c>
      <c r="F39" s="41">
        <v>260000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6" t="s">
        <v>80</v>
      </c>
      <c r="B40" s="37">
        <v>42920</v>
      </c>
      <c r="C40" s="38" t="s">
        <v>484</v>
      </c>
      <c r="D40" s="9" t="s">
        <v>84</v>
      </c>
      <c r="E40" s="39" t="s">
        <v>85</v>
      </c>
      <c r="F40" s="41">
        <v>76000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6" t="s">
        <v>80</v>
      </c>
      <c r="B41" s="37">
        <v>42920</v>
      </c>
      <c r="C41" s="38" t="s">
        <v>484</v>
      </c>
      <c r="D41" s="9" t="s">
        <v>86</v>
      </c>
      <c r="E41" s="39" t="s">
        <v>87</v>
      </c>
      <c r="F41" s="41">
        <v>111942.47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6" t="s">
        <v>80</v>
      </c>
      <c r="B42" s="37">
        <v>42920</v>
      </c>
      <c r="C42" s="38" t="s">
        <v>484</v>
      </c>
      <c r="D42" s="9" t="s">
        <v>86</v>
      </c>
      <c r="E42" s="39" t="s">
        <v>88</v>
      </c>
      <c r="F42" s="41">
        <v>247989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6" t="s">
        <v>80</v>
      </c>
      <c r="B43" s="37">
        <v>42920</v>
      </c>
      <c r="C43" s="38" t="s">
        <v>484</v>
      </c>
      <c r="D43" s="9" t="s">
        <v>89</v>
      </c>
      <c r="E43" s="39" t="s">
        <v>90</v>
      </c>
      <c r="F43" s="41">
        <v>4869579.24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6" t="s">
        <v>80</v>
      </c>
      <c r="B44" s="37">
        <v>42920</v>
      </c>
      <c r="C44" s="38" t="s">
        <v>484</v>
      </c>
      <c r="D44" s="9" t="s">
        <v>185</v>
      </c>
      <c r="E44" s="39" t="s">
        <v>91</v>
      </c>
      <c r="F44" s="41">
        <v>115970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6" t="s">
        <v>80</v>
      </c>
      <c r="B45" s="37">
        <v>42920</v>
      </c>
      <c r="C45" s="38" t="s">
        <v>484</v>
      </c>
      <c r="D45" s="9" t="s">
        <v>192</v>
      </c>
      <c r="E45" s="39" t="s">
        <v>92</v>
      </c>
      <c r="F45" s="41">
        <v>2000000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6" t="s">
        <v>80</v>
      </c>
      <c r="B46" s="37">
        <v>42920</v>
      </c>
      <c r="C46" s="38" t="s">
        <v>484</v>
      </c>
      <c r="D46" s="9" t="s">
        <v>490</v>
      </c>
      <c r="E46" s="39" t="s">
        <v>93</v>
      </c>
      <c r="F46" s="41">
        <v>3345293.74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6" t="s">
        <v>80</v>
      </c>
      <c r="B47" s="37">
        <v>42920</v>
      </c>
      <c r="C47" s="38" t="s">
        <v>484</v>
      </c>
      <c r="D47" s="9" t="s">
        <v>490</v>
      </c>
      <c r="E47" s="39" t="s">
        <v>94</v>
      </c>
      <c r="F47" s="41">
        <v>680554.02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6" t="s">
        <v>95</v>
      </c>
      <c r="B48" s="37">
        <v>42920</v>
      </c>
      <c r="C48" s="38" t="s">
        <v>484</v>
      </c>
      <c r="D48" s="9" t="s">
        <v>96</v>
      </c>
      <c r="E48" s="39" t="s">
        <v>97</v>
      </c>
      <c r="F48" s="41">
        <v>309826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6" t="s">
        <v>98</v>
      </c>
      <c r="B49" s="37">
        <v>42923</v>
      </c>
      <c r="C49" s="38" t="s">
        <v>484</v>
      </c>
      <c r="D49" s="9" t="s">
        <v>99</v>
      </c>
      <c r="E49" s="39" t="s">
        <v>100</v>
      </c>
      <c r="F49" s="41">
        <v>1911432.18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6" t="s">
        <v>98</v>
      </c>
      <c r="B50" s="37">
        <v>42923</v>
      </c>
      <c r="C50" s="38" t="s">
        <v>484</v>
      </c>
      <c r="D50" s="9" t="s">
        <v>491</v>
      </c>
      <c r="E50" s="39" t="s">
        <v>101</v>
      </c>
      <c r="F50" s="41">
        <v>25000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6" t="s">
        <v>98</v>
      </c>
      <c r="B51" s="37">
        <v>42923</v>
      </c>
      <c r="C51" s="38" t="s">
        <v>484</v>
      </c>
      <c r="D51" s="9" t="s">
        <v>491</v>
      </c>
      <c r="E51" s="39" t="s">
        <v>102</v>
      </c>
      <c r="F51" s="41">
        <v>25000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6" t="s">
        <v>98</v>
      </c>
      <c r="B52" s="37">
        <v>42923</v>
      </c>
      <c r="C52" s="38" t="s">
        <v>484</v>
      </c>
      <c r="D52" s="9" t="s">
        <v>491</v>
      </c>
      <c r="E52" s="39" t="s">
        <v>103</v>
      </c>
      <c r="F52" s="41">
        <v>25000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6" t="s">
        <v>98</v>
      </c>
      <c r="B53" s="37">
        <v>42923</v>
      </c>
      <c r="C53" s="38" t="s">
        <v>484</v>
      </c>
      <c r="D53" s="9" t="s">
        <v>104</v>
      </c>
      <c r="E53" s="39" t="s">
        <v>105</v>
      </c>
      <c r="F53" s="41">
        <v>921102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6" t="s">
        <v>98</v>
      </c>
      <c r="B54" s="37">
        <v>42923</v>
      </c>
      <c r="C54" s="38" t="s">
        <v>484</v>
      </c>
      <c r="D54" s="9" t="s">
        <v>106</v>
      </c>
      <c r="E54" s="39" t="s">
        <v>107</v>
      </c>
      <c r="F54" s="41">
        <v>879640.9500000001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6" t="s">
        <v>98</v>
      </c>
      <c r="B55" s="37">
        <v>42923</v>
      </c>
      <c r="C55" s="38" t="s">
        <v>484</v>
      </c>
      <c r="D55" s="9" t="s">
        <v>1</v>
      </c>
      <c r="E55" s="39" t="s">
        <v>108</v>
      </c>
      <c r="F55" s="41">
        <v>36791.5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6" t="s">
        <v>98</v>
      </c>
      <c r="B56" s="37">
        <v>42923</v>
      </c>
      <c r="C56" s="38" t="s">
        <v>484</v>
      </c>
      <c r="D56" s="9" t="s">
        <v>1</v>
      </c>
      <c r="E56" s="39" t="s">
        <v>109</v>
      </c>
      <c r="F56" s="41">
        <v>131627.72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6" t="s">
        <v>98</v>
      </c>
      <c r="B57" s="37">
        <v>42923</v>
      </c>
      <c r="C57" s="38" t="s">
        <v>484</v>
      </c>
      <c r="D57" s="9" t="s">
        <v>489</v>
      </c>
      <c r="E57" s="39" t="s">
        <v>110</v>
      </c>
      <c r="F57" s="41">
        <v>227823.69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6" t="s">
        <v>98</v>
      </c>
      <c r="B58" s="37">
        <v>42923</v>
      </c>
      <c r="C58" s="38" t="s">
        <v>484</v>
      </c>
      <c r="D58" s="9" t="s">
        <v>111</v>
      </c>
      <c r="E58" s="39" t="s">
        <v>112</v>
      </c>
      <c r="F58" s="41">
        <v>346695.7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6" t="s">
        <v>98</v>
      </c>
      <c r="B59" s="37">
        <v>42923</v>
      </c>
      <c r="C59" s="38" t="s">
        <v>484</v>
      </c>
      <c r="D59" s="9" t="s">
        <v>189</v>
      </c>
      <c r="E59" s="39" t="s">
        <v>113</v>
      </c>
      <c r="F59" s="41">
        <v>20000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6" t="s">
        <v>98</v>
      </c>
      <c r="B60" s="37">
        <v>42923</v>
      </c>
      <c r="C60" s="38" t="s">
        <v>484</v>
      </c>
      <c r="D60" s="9" t="s">
        <v>496</v>
      </c>
      <c r="E60" s="39" t="s">
        <v>114</v>
      </c>
      <c r="F60" s="41">
        <v>80375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6" t="s">
        <v>98</v>
      </c>
      <c r="B61" s="37">
        <v>42923</v>
      </c>
      <c r="C61" s="38" t="s">
        <v>484</v>
      </c>
      <c r="D61" s="9" t="s">
        <v>115</v>
      </c>
      <c r="E61" s="39" t="s">
        <v>116</v>
      </c>
      <c r="F61" s="41">
        <v>60000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6" t="s">
        <v>98</v>
      </c>
      <c r="B62" s="37">
        <v>42923</v>
      </c>
      <c r="C62" s="38" t="s">
        <v>484</v>
      </c>
      <c r="D62" s="9" t="s">
        <v>496</v>
      </c>
      <c r="E62" s="39" t="s">
        <v>117</v>
      </c>
      <c r="F62" s="41">
        <v>90540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6" t="s">
        <v>98</v>
      </c>
      <c r="B63" s="37">
        <v>42923</v>
      </c>
      <c r="C63" s="38" t="s">
        <v>484</v>
      </c>
      <c r="D63" s="9" t="s">
        <v>497</v>
      </c>
      <c r="E63" s="39" t="s">
        <v>118</v>
      </c>
      <c r="F63" s="41">
        <v>8350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6" t="s">
        <v>98</v>
      </c>
      <c r="B64" s="37">
        <v>42923</v>
      </c>
      <c r="C64" s="38" t="s">
        <v>484</v>
      </c>
      <c r="D64" s="9" t="s">
        <v>498</v>
      </c>
      <c r="E64" s="39" t="s">
        <v>118</v>
      </c>
      <c r="F64" s="41">
        <v>8350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6" t="s">
        <v>98</v>
      </c>
      <c r="B65" s="37">
        <v>42923</v>
      </c>
      <c r="C65" s="38" t="s">
        <v>484</v>
      </c>
      <c r="D65" s="9" t="s">
        <v>511</v>
      </c>
      <c r="E65" s="39" t="s">
        <v>119</v>
      </c>
      <c r="F65" s="41">
        <v>16700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6" t="s">
        <v>98</v>
      </c>
      <c r="B66" s="37">
        <v>42923</v>
      </c>
      <c r="C66" s="38" t="s">
        <v>484</v>
      </c>
      <c r="D66" s="9" t="s">
        <v>511</v>
      </c>
      <c r="E66" s="39" t="s">
        <v>120</v>
      </c>
      <c r="F66" s="41">
        <v>4460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6" t="s">
        <v>121</v>
      </c>
      <c r="B67" s="37">
        <v>42936</v>
      </c>
      <c r="C67" s="38" t="s">
        <v>484</v>
      </c>
      <c r="D67" s="9" t="s">
        <v>2</v>
      </c>
      <c r="E67" s="39" t="s">
        <v>122</v>
      </c>
      <c r="F67" s="41">
        <v>209000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6" t="s">
        <v>121</v>
      </c>
      <c r="B68" s="37">
        <v>42936</v>
      </c>
      <c r="C68" s="38" t="s">
        <v>484</v>
      </c>
      <c r="D68" s="9" t="s">
        <v>504</v>
      </c>
      <c r="E68" s="39" t="s">
        <v>123</v>
      </c>
      <c r="F68" s="41">
        <v>411077.60000000003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6" t="s">
        <v>121</v>
      </c>
      <c r="B69" s="37">
        <v>42936</v>
      </c>
      <c r="C69" s="38" t="s">
        <v>484</v>
      </c>
      <c r="D69" s="9" t="s">
        <v>494</v>
      </c>
      <c r="E69" s="39" t="s">
        <v>124</v>
      </c>
      <c r="F69" s="41">
        <v>15373.18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6" t="s">
        <v>121</v>
      </c>
      <c r="B70" s="37">
        <v>42936</v>
      </c>
      <c r="C70" s="38" t="s">
        <v>484</v>
      </c>
      <c r="D70" s="9" t="s">
        <v>503</v>
      </c>
      <c r="E70" s="39" t="s">
        <v>125</v>
      </c>
      <c r="F70" s="41">
        <v>169202.9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6" t="s">
        <v>121</v>
      </c>
      <c r="B71" s="37">
        <v>42936</v>
      </c>
      <c r="C71" s="38" t="s">
        <v>484</v>
      </c>
      <c r="D71" s="9" t="s">
        <v>499</v>
      </c>
      <c r="E71" s="39" t="s">
        <v>126</v>
      </c>
      <c r="F71" s="41">
        <v>41850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6" t="s">
        <v>121</v>
      </c>
      <c r="B72" s="37">
        <v>42936</v>
      </c>
      <c r="C72" s="38" t="s">
        <v>484</v>
      </c>
      <c r="D72" s="9" t="s">
        <v>127</v>
      </c>
      <c r="E72" s="39" t="s">
        <v>126</v>
      </c>
      <c r="F72" s="41">
        <v>41850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6" t="s">
        <v>128</v>
      </c>
      <c r="B73" s="37">
        <v>42933</v>
      </c>
      <c r="C73" s="38" t="s">
        <v>484</v>
      </c>
      <c r="D73" s="9" t="s">
        <v>490</v>
      </c>
      <c r="E73" s="39" t="s">
        <v>129</v>
      </c>
      <c r="F73" s="41">
        <v>26684348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6" t="s">
        <v>128</v>
      </c>
      <c r="B74" s="37">
        <v>42933</v>
      </c>
      <c r="C74" s="38" t="s">
        <v>484</v>
      </c>
      <c r="D74" s="9" t="s">
        <v>490</v>
      </c>
      <c r="E74" s="39" t="s">
        <v>130</v>
      </c>
      <c r="F74" s="41">
        <v>14544425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6" t="s">
        <v>128</v>
      </c>
      <c r="B75" s="37">
        <v>42933</v>
      </c>
      <c r="C75" s="38" t="s">
        <v>484</v>
      </c>
      <c r="D75" s="9" t="s">
        <v>490</v>
      </c>
      <c r="E75" s="39" t="s">
        <v>131</v>
      </c>
      <c r="F75" s="41">
        <v>4327188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6" t="s">
        <v>128</v>
      </c>
      <c r="B76" s="37">
        <v>42933</v>
      </c>
      <c r="C76" s="38" t="s">
        <v>484</v>
      </c>
      <c r="D76" s="9" t="s">
        <v>490</v>
      </c>
      <c r="E76" s="39" t="s">
        <v>132</v>
      </c>
      <c r="F76" s="41">
        <v>8654382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6" t="s">
        <v>128</v>
      </c>
      <c r="B77" s="37">
        <v>42933</v>
      </c>
      <c r="C77" s="38" t="s">
        <v>484</v>
      </c>
      <c r="D77" s="9" t="s">
        <v>490</v>
      </c>
      <c r="E77" s="39" t="s">
        <v>133</v>
      </c>
      <c r="F77" s="41">
        <v>1442399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6" t="s">
        <v>134</v>
      </c>
      <c r="B78" s="37">
        <v>42934</v>
      </c>
      <c r="C78" s="38" t="s">
        <v>484</v>
      </c>
      <c r="D78" s="9" t="s">
        <v>492</v>
      </c>
      <c r="E78" s="39" t="s">
        <v>135</v>
      </c>
      <c r="F78" s="41">
        <v>490000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6" t="s">
        <v>134</v>
      </c>
      <c r="B79" s="37">
        <v>42934</v>
      </c>
      <c r="C79" s="38" t="s">
        <v>484</v>
      </c>
      <c r="D79" s="9" t="s">
        <v>492</v>
      </c>
      <c r="E79" s="39" t="s">
        <v>136</v>
      </c>
      <c r="F79" s="41">
        <v>208580.48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6" t="s">
        <v>134</v>
      </c>
      <c r="B80" s="37">
        <v>42934</v>
      </c>
      <c r="C80" s="38" t="s">
        <v>484</v>
      </c>
      <c r="D80" s="9" t="s">
        <v>137</v>
      </c>
      <c r="E80" s="39" t="s">
        <v>138</v>
      </c>
      <c r="F80" s="41">
        <v>221743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6" t="s">
        <v>134</v>
      </c>
      <c r="B81" s="37">
        <v>42934</v>
      </c>
      <c r="C81" s="38" t="s">
        <v>484</v>
      </c>
      <c r="D81" s="9" t="s">
        <v>493</v>
      </c>
      <c r="E81" s="39" t="s">
        <v>139</v>
      </c>
      <c r="F81" s="41">
        <v>50000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6" t="s">
        <v>134</v>
      </c>
      <c r="B82" s="37">
        <v>42934</v>
      </c>
      <c r="C82" s="38" t="s">
        <v>484</v>
      </c>
      <c r="D82" s="9" t="s">
        <v>505</v>
      </c>
      <c r="E82" s="39" t="s">
        <v>140</v>
      </c>
      <c r="F82" s="41">
        <v>620475.25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6" t="s">
        <v>134</v>
      </c>
      <c r="B83" s="37">
        <v>42934</v>
      </c>
      <c r="C83" s="38" t="s">
        <v>484</v>
      </c>
      <c r="D83" s="9" t="s">
        <v>141</v>
      </c>
      <c r="E83" s="39" t="s">
        <v>142</v>
      </c>
      <c r="F83" s="41">
        <v>1729856.8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6" t="s">
        <v>134</v>
      </c>
      <c r="B84" s="37">
        <v>42934</v>
      </c>
      <c r="C84" s="38" t="s">
        <v>484</v>
      </c>
      <c r="D84" s="9" t="s">
        <v>496</v>
      </c>
      <c r="E84" s="39" t="s">
        <v>143</v>
      </c>
      <c r="F84" s="41">
        <v>93450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6" t="s">
        <v>134</v>
      </c>
      <c r="B85" s="37">
        <v>42934</v>
      </c>
      <c r="C85" s="38" t="s">
        <v>484</v>
      </c>
      <c r="D85" s="9" t="s">
        <v>496</v>
      </c>
      <c r="E85" s="39" t="s">
        <v>144</v>
      </c>
      <c r="F85" s="41">
        <v>54695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6" t="s">
        <v>145</v>
      </c>
      <c r="B86" s="37">
        <v>42935</v>
      </c>
      <c r="C86" s="38" t="s">
        <v>484</v>
      </c>
      <c r="D86" s="9" t="s">
        <v>192</v>
      </c>
      <c r="E86" s="39" t="s">
        <v>146</v>
      </c>
      <c r="F86" s="41">
        <v>54500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6" t="s">
        <v>145</v>
      </c>
      <c r="B87" s="37">
        <v>42935</v>
      </c>
      <c r="C87" s="38" t="s">
        <v>484</v>
      </c>
      <c r="D87" s="9" t="s">
        <v>192</v>
      </c>
      <c r="E87" s="39" t="s">
        <v>147</v>
      </c>
      <c r="F87" s="41">
        <v>5355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6" t="s">
        <v>145</v>
      </c>
      <c r="B88" s="37">
        <v>42935</v>
      </c>
      <c r="C88" s="38" t="s">
        <v>484</v>
      </c>
      <c r="D88" s="9" t="s">
        <v>192</v>
      </c>
      <c r="E88" s="39" t="s">
        <v>148</v>
      </c>
      <c r="F88" s="41">
        <v>2306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6" t="s">
        <v>145</v>
      </c>
      <c r="B89" s="37">
        <v>42935</v>
      </c>
      <c r="C89" s="38" t="s">
        <v>484</v>
      </c>
      <c r="D89" s="9" t="s">
        <v>192</v>
      </c>
      <c r="E89" s="39" t="s">
        <v>149</v>
      </c>
      <c r="F89" s="41">
        <v>41118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6" t="s">
        <v>145</v>
      </c>
      <c r="B90" s="37">
        <v>42935</v>
      </c>
      <c r="C90" s="38" t="s">
        <v>484</v>
      </c>
      <c r="D90" s="9" t="s">
        <v>192</v>
      </c>
      <c r="E90" s="39" t="s">
        <v>150</v>
      </c>
      <c r="F90" s="41">
        <v>43410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6" t="s">
        <v>145</v>
      </c>
      <c r="B91" s="37">
        <v>42935</v>
      </c>
      <c r="C91" s="38" t="s">
        <v>484</v>
      </c>
      <c r="D91" s="9" t="s">
        <v>192</v>
      </c>
      <c r="E91" s="39" t="s">
        <v>151</v>
      </c>
      <c r="F91" s="41">
        <v>22020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6" t="s">
        <v>145</v>
      </c>
      <c r="B92" s="37">
        <v>42935</v>
      </c>
      <c r="C92" s="38" t="s">
        <v>484</v>
      </c>
      <c r="D92" s="9" t="s">
        <v>192</v>
      </c>
      <c r="E92" s="39" t="s">
        <v>152</v>
      </c>
      <c r="F92" s="41">
        <v>670650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6" t="s">
        <v>145</v>
      </c>
      <c r="B93" s="37">
        <v>42935</v>
      </c>
      <c r="C93" s="38" t="s">
        <v>484</v>
      </c>
      <c r="D93" s="9" t="s">
        <v>192</v>
      </c>
      <c r="E93" s="39" t="s">
        <v>153</v>
      </c>
      <c r="F93" s="41">
        <v>21649.010000000002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6" t="s">
        <v>145</v>
      </c>
      <c r="B94" s="37">
        <v>42935</v>
      </c>
      <c r="C94" s="38" t="s">
        <v>484</v>
      </c>
      <c r="D94" s="9" t="s">
        <v>192</v>
      </c>
      <c r="E94" s="39" t="s">
        <v>154</v>
      </c>
      <c r="F94" s="41">
        <v>9200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6" t="s">
        <v>145</v>
      </c>
      <c r="B95" s="37">
        <v>42935</v>
      </c>
      <c r="C95" s="38" t="s">
        <v>484</v>
      </c>
      <c r="D95" s="9" t="s">
        <v>192</v>
      </c>
      <c r="E95" s="39" t="s">
        <v>155</v>
      </c>
      <c r="F95" s="41">
        <v>18540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6" t="s">
        <v>145</v>
      </c>
      <c r="B96" s="37">
        <v>42935</v>
      </c>
      <c r="C96" s="38" t="s">
        <v>484</v>
      </c>
      <c r="D96" s="9" t="s">
        <v>192</v>
      </c>
      <c r="E96" s="39" t="s">
        <v>156</v>
      </c>
      <c r="F96" s="41">
        <v>428000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6" t="s">
        <v>145</v>
      </c>
      <c r="B97" s="37">
        <v>42935</v>
      </c>
      <c r="C97" s="38" t="s">
        <v>484</v>
      </c>
      <c r="D97" s="9" t="s">
        <v>192</v>
      </c>
      <c r="E97" s="39" t="s">
        <v>157</v>
      </c>
      <c r="F97" s="41">
        <v>39480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6" t="s">
        <v>145</v>
      </c>
      <c r="B98" s="37">
        <v>42935</v>
      </c>
      <c r="C98" s="38" t="s">
        <v>484</v>
      </c>
      <c r="D98" s="9" t="s">
        <v>192</v>
      </c>
      <c r="E98" s="39" t="s">
        <v>158</v>
      </c>
      <c r="F98" s="41">
        <v>9600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6" t="s">
        <v>145</v>
      </c>
      <c r="B99" s="37">
        <v>42935</v>
      </c>
      <c r="C99" s="38" t="s">
        <v>484</v>
      </c>
      <c r="D99" s="9" t="s">
        <v>192</v>
      </c>
      <c r="E99" s="39" t="s">
        <v>159</v>
      </c>
      <c r="F99" s="41">
        <v>11700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6" t="s">
        <v>145</v>
      </c>
      <c r="B100" s="37">
        <v>42935</v>
      </c>
      <c r="C100" s="38" t="s">
        <v>484</v>
      </c>
      <c r="D100" s="9" t="s">
        <v>192</v>
      </c>
      <c r="E100" s="39" t="s">
        <v>160</v>
      </c>
      <c r="F100" s="41">
        <v>3000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6" t="s">
        <v>145</v>
      </c>
      <c r="B101" s="37">
        <v>42935</v>
      </c>
      <c r="C101" s="38" t="s">
        <v>484</v>
      </c>
      <c r="D101" s="9" t="s">
        <v>192</v>
      </c>
      <c r="E101" s="39" t="s">
        <v>161</v>
      </c>
      <c r="F101" s="41">
        <v>3400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6" t="s">
        <v>145</v>
      </c>
      <c r="B102" s="37">
        <v>42935</v>
      </c>
      <c r="C102" s="38" t="s">
        <v>484</v>
      </c>
      <c r="D102" s="9" t="s">
        <v>192</v>
      </c>
      <c r="E102" s="39" t="s">
        <v>162</v>
      </c>
      <c r="F102" s="41">
        <v>12800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6" t="s">
        <v>163</v>
      </c>
      <c r="B103" s="37">
        <v>42934</v>
      </c>
      <c r="C103" s="38" t="s">
        <v>484</v>
      </c>
      <c r="D103" s="9" t="s">
        <v>164</v>
      </c>
      <c r="E103" s="39" t="s">
        <v>165</v>
      </c>
      <c r="F103" s="41">
        <v>78000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6" t="s">
        <v>163</v>
      </c>
      <c r="B104" s="37">
        <v>42934</v>
      </c>
      <c r="C104" s="38" t="s">
        <v>484</v>
      </c>
      <c r="D104" s="9" t="s">
        <v>89</v>
      </c>
      <c r="E104" s="39" t="s">
        <v>166</v>
      </c>
      <c r="F104" s="41">
        <v>4869579.24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6" t="s">
        <v>163</v>
      </c>
      <c r="B105" s="37">
        <v>42934</v>
      </c>
      <c r="C105" s="38" t="s">
        <v>484</v>
      </c>
      <c r="D105" s="9" t="s">
        <v>167</v>
      </c>
      <c r="E105" s="39" t="s">
        <v>168</v>
      </c>
      <c r="F105" s="41">
        <v>414000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6" t="s">
        <v>163</v>
      </c>
      <c r="B106" s="37">
        <v>42934</v>
      </c>
      <c r="C106" s="38" t="s">
        <v>484</v>
      </c>
      <c r="D106" s="9" t="s">
        <v>489</v>
      </c>
      <c r="E106" s="39" t="s">
        <v>169</v>
      </c>
      <c r="F106" s="41">
        <v>11409804.52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6" t="s">
        <v>163</v>
      </c>
      <c r="B107" s="37">
        <v>42934</v>
      </c>
      <c r="C107" s="38" t="s">
        <v>484</v>
      </c>
      <c r="D107" s="9" t="s">
        <v>188</v>
      </c>
      <c r="E107" s="39" t="s">
        <v>170</v>
      </c>
      <c r="F107" s="41">
        <v>689895.5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6" t="s">
        <v>163</v>
      </c>
      <c r="B108" s="37">
        <v>42934</v>
      </c>
      <c r="C108" s="38" t="s">
        <v>484</v>
      </c>
      <c r="D108" s="9" t="s">
        <v>495</v>
      </c>
      <c r="E108" s="39" t="s">
        <v>171</v>
      </c>
      <c r="F108" s="41">
        <v>28666.190000000002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6" t="s">
        <v>163</v>
      </c>
      <c r="B109" s="37">
        <v>42934</v>
      </c>
      <c r="C109" s="38" t="s">
        <v>484</v>
      </c>
      <c r="D109" s="9" t="s">
        <v>496</v>
      </c>
      <c r="E109" s="39" t="s">
        <v>172</v>
      </c>
      <c r="F109" s="41">
        <v>60330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6" t="s">
        <v>163</v>
      </c>
      <c r="B110" s="37">
        <v>42934</v>
      </c>
      <c r="C110" s="38" t="s">
        <v>484</v>
      </c>
      <c r="D110" s="9" t="s">
        <v>127</v>
      </c>
      <c r="E110" s="39" t="s">
        <v>173</v>
      </c>
      <c r="F110" s="41">
        <v>33500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6" t="s">
        <v>174</v>
      </c>
      <c r="B111" s="37">
        <v>42942.42618055556</v>
      </c>
      <c r="C111" s="38" t="s">
        <v>484</v>
      </c>
      <c r="D111" s="9" t="s">
        <v>175</v>
      </c>
      <c r="E111" s="39" t="s">
        <v>176</v>
      </c>
      <c r="F111" s="41">
        <v>35534.38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6" t="s">
        <v>174</v>
      </c>
      <c r="B112" s="37">
        <v>42942.42618055556</v>
      </c>
      <c r="C112" s="38" t="s">
        <v>484</v>
      </c>
      <c r="D112" s="9" t="s">
        <v>177</v>
      </c>
      <c r="E112" s="39" t="s">
        <v>178</v>
      </c>
      <c r="F112" s="41">
        <v>509600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6" t="s">
        <v>174</v>
      </c>
      <c r="B113" s="37">
        <v>42942.42618055556</v>
      </c>
      <c r="C113" s="38" t="s">
        <v>484</v>
      </c>
      <c r="D113" s="9" t="s">
        <v>504</v>
      </c>
      <c r="E113" s="39" t="s">
        <v>179</v>
      </c>
      <c r="F113" s="41">
        <v>190371.30000000002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6" t="s">
        <v>174</v>
      </c>
      <c r="B114" s="37">
        <v>42942.428078703706</v>
      </c>
      <c r="C114" s="38" t="s">
        <v>484</v>
      </c>
      <c r="D114" s="9" t="s">
        <v>502</v>
      </c>
      <c r="E114" s="39" t="s">
        <v>180</v>
      </c>
      <c r="F114" s="41">
        <v>920338.12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6" t="s">
        <v>174</v>
      </c>
      <c r="B115" s="37">
        <v>42942.42618055556</v>
      </c>
      <c r="C115" s="38" t="s">
        <v>484</v>
      </c>
      <c r="D115" s="9" t="s">
        <v>510</v>
      </c>
      <c r="E115" s="39" t="s">
        <v>181</v>
      </c>
      <c r="F115" s="41">
        <v>30000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6" t="s">
        <v>174</v>
      </c>
      <c r="B116" s="37">
        <v>42942.42618055556</v>
      </c>
      <c r="C116" s="38" t="s">
        <v>484</v>
      </c>
      <c r="D116" s="9" t="s">
        <v>496</v>
      </c>
      <c r="E116" s="39" t="s">
        <v>182</v>
      </c>
      <c r="F116" s="41">
        <v>2754384.1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6" t="s">
        <v>174</v>
      </c>
      <c r="B117" s="37">
        <v>42942.42618055556</v>
      </c>
      <c r="C117" s="38" t="s">
        <v>484</v>
      </c>
      <c r="D117" s="9" t="s">
        <v>496</v>
      </c>
      <c r="E117" s="39" t="s">
        <v>183</v>
      </c>
      <c r="F117" s="41">
        <v>314976.9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6" t="s">
        <v>174</v>
      </c>
      <c r="B118" s="37">
        <v>42942.42618055556</v>
      </c>
      <c r="C118" s="38" t="s">
        <v>484</v>
      </c>
      <c r="D118" s="9" t="s">
        <v>496</v>
      </c>
      <c r="E118" s="39" t="s">
        <v>184</v>
      </c>
      <c r="F118" s="41">
        <v>189321.30000000002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6"/>
      <c r="B119" s="37"/>
      <c r="C119" s="38"/>
      <c r="D119" s="9"/>
      <c r="E119" s="39"/>
      <c r="F119" s="7">
        <v>23500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6"/>
      <c r="B120" s="37"/>
      <c r="C120" s="38"/>
      <c r="D120" s="9"/>
      <c r="E120" s="39"/>
      <c r="F120" s="7">
        <v>23500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6"/>
      <c r="B121" s="37"/>
      <c r="C121" s="38"/>
      <c r="D121" s="9"/>
      <c r="E121" s="39"/>
      <c r="F121" s="7">
        <v>1594023.9000000001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6"/>
      <c r="B122" s="37"/>
      <c r="C122" s="38"/>
      <c r="D122" s="9"/>
      <c r="E122" s="39"/>
      <c r="F122" s="7">
        <v>14960.68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6"/>
      <c r="B123" s="37"/>
      <c r="C123" s="38"/>
      <c r="D123" s="9"/>
      <c r="E123" s="39"/>
      <c r="F123" s="7">
        <v>45000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6"/>
      <c r="B124" s="37"/>
      <c r="C124" s="38"/>
      <c r="D124" s="9"/>
      <c r="E124" s="39"/>
      <c r="F124" s="7">
        <v>897139.85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6"/>
      <c r="B125" s="37"/>
      <c r="C125" s="38"/>
      <c r="D125" s="9"/>
      <c r="E125" s="39"/>
      <c r="F125" s="7">
        <v>75783.64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6"/>
      <c r="B126" s="37"/>
      <c r="C126" s="38"/>
      <c r="D126" s="9"/>
      <c r="E126" s="39"/>
      <c r="F126" s="7">
        <v>21050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6"/>
      <c r="B127" s="37"/>
      <c r="C127" s="38"/>
      <c r="D127" s="9"/>
      <c r="E127" s="39"/>
      <c r="F127" s="7">
        <v>45390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6"/>
      <c r="B128" s="37"/>
      <c r="C128" s="38"/>
      <c r="D128" s="9"/>
      <c r="E128" s="39"/>
      <c r="F128" s="7">
        <v>15500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6"/>
      <c r="B129" s="37"/>
      <c r="C129" s="38"/>
      <c r="D129" s="9"/>
      <c r="E129" s="39"/>
      <c r="F129" s="7">
        <v>253450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6"/>
      <c r="B130" s="37"/>
      <c r="C130" s="38"/>
      <c r="D130" s="9"/>
      <c r="E130" s="39"/>
      <c r="F130" s="7">
        <v>371639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6"/>
      <c r="B131" s="37"/>
      <c r="C131" s="38"/>
      <c r="D131" s="9"/>
      <c r="E131" s="39"/>
      <c r="F131" s="7">
        <v>93150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6"/>
      <c r="B132" s="37"/>
      <c r="C132" s="38"/>
      <c r="D132" s="9"/>
      <c r="E132" s="39"/>
      <c r="F132" s="7">
        <v>70480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6"/>
      <c r="B133" s="37"/>
      <c r="C133" s="38"/>
      <c r="D133" s="9"/>
      <c r="E133" s="39"/>
      <c r="F133" s="7">
        <v>99945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6"/>
      <c r="B134" s="37"/>
      <c r="C134" s="38"/>
      <c r="D134" s="9"/>
      <c r="E134" s="39"/>
      <c r="F134" s="7">
        <v>101945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6"/>
      <c r="B135" s="37"/>
      <c r="C135" s="38"/>
      <c r="D135" s="9"/>
      <c r="E135" s="39"/>
      <c r="F135" s="7">
        <v>24034.94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6"/>
      <c r="B136" s="37"/>
      <c r="C136" s="38"/>
      <c r="D136" s="9"/>
      <c r="E136" s="39"/>
      <c r="F136" s="7">
        <v>27451.75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6"/>
      <c r="B137" s="37"/>
      <c r="C137" s="38"/>
      <c r="D137" s="9"/>
      <c r="E137" s="39"/>
      <c r="F137" s="7">
        <v>65463.75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6"/>
      <c r="B138" s="37"/>
      <c r="C138" s="38"/>
      <c r="D138" s="9"/>
      <c r="E138" s="39"/>
      <c r="F138" s="7">
        <v>30000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6"/>
      <c r="B139" s="37"/>
      <c r="C139" s="38"/>
      <c r="D139" s="9"/>
      <c r="E139" s="39"/>
      <c r="F139" s="7">
        <v>33783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6"/>
      <c r="B140" s="37"/>
      <c r="C140" s="38"/>
      <c r="D140" s="9"/>
      <c r="E140" s="39"/>
      <c r="F140" s="7">
        <v>192400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6"/>
      <c r="B141" s="37"/>
      <c r="C141" s="38"/>
      <c r="D141" s="9"/>
      <c r="E141" s="39"/>
      <c r="F141" s="7">
        <v>249999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6"/>
      <c r="B142" s="37"/>
      <c r="C142" s="38"/>
      <c r="D142" s="9"/>
      <c r="E142" s="39"/>
      <c r="F142" s="7">
        <v>279000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6"/>
      <c r="B143" s="37"/>
      <c r="C143" s="38"/>
      <c r="D143" s="9"/>
      <c r="E143" s="39"/>
      <c r="F143" s="7">
        <v>247815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6"/>
      <c r="B144" s="37"/>
      <c r="C144" s="38"/>
      <c r="D144" s="9"/>
      <c r="E144" s="39"/>
      <c r="F144" s="7">
        <v>11529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6"/>
      <c r="B145" s="37"/>
      <c r="C145" s="38"/>
      <c r="D145" s="9"/>
      <c r="E145" s="39"/>
      <c r="F145" s="7">
        <v>131627.72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6"/>
      <c r="B146" s="37"/>
      <c r="C146" s="38"/>
      <c r="D146" s="9"/>
      <c r="E146" s="39"/>
      <c r="F146" s="7">
        <v>36791.5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6"/>
      <c r="B147" s="37"/>
      <c r="C147" s="38"/>
      <c r="D147" s="9"/>
      <c r="E147" s="39"/>
      <c r="F147" s="7">
        <v>131627.72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6"/>
      <c r="B148" s="37"/>
      <c r="C148" s="38"/>
      <c r="D148" s="9"/>
      <c r="E148" s="39"/>
      <c r="F148" s="7">
        <v>36791.5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6"/>
      <c r="B149" s="37"/>
      <c r="C149" s="38"/>
      <c r="D149" s="9"/>
      <c r="E149" s="39"/>
      <c r="F149" s="7">
        <v>446434.04000000004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6"/>
      <c r="B150" s="37"/>
      <c r="C150" s="38"/>
      <c r="D150" s="9"/>
      <c r="E150" s="39"/>
      <c r="F150" s="7">
        <v>595330.4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6"/>
      <c r="B151" s="37"/>
      <c r="C151" s="38"/>
      <c r="D151" s="9"/>
      <c r="E151" s="39"/>
      <c r="F151" s="7">
        <v>686000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6"/>
      <c r="B152" s="37"/>
      <c r="C152" s="38"/>
      <c r="D152" s="9"/>
      <c r="E152" s="39"/>
      <c r="F152" s="7">
        <v>471333.95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6"/>
      <c r="B153" s="37"/>
      <c r="C153" s="38"/>
      <c r="D153" s="9"/>
      <c r="E153" s="39"/>
      <c r="F153" s="7">
        <v>471333.95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6"/>
      <c r="B154" s="37"/>
      <c r="C154" s="38"/>
      <c r="D154" s="9"/>
      <c r="E154" s="39"/>
      <c r="F154" s="7">
        <v>190453.4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6"/>
      <c r="B155" s="37"/>
      <c r="C155" s="38"/>
      <c r="D155" s="9"/>
      <c r="E155" s="39"/>
      <c r="F155" s="7">
        <v>2000000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6"/>
      <c r="B156" s="37"/>
      <c r="C156" s="38"/>
      <c r="D156" s="9"/>
      <c r="E156" s="39"/>
      <c r="F156" s="7">
        <v>2688613.35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6"/>
      <c r="B157" s="37"/>
      <c r="C157" s="38"/>
      <c r="D157" s="9"/>
      <c r="E157" s="39"/>
      <c r="F157" s="7">
        <v>338036.3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6"/>
      <c r="B158" s="37"/>
      <c r="C158" s="38"/>
      <c r="D158" s="9"/>
      <c r="E158" s="39"/>
      <c r="F158" s="7">
        <v>186631.2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6"/>
      <c r="B159" s="37"/>
      <c r="C159" s="38"/>
      <c r="D159" s="9"/>
      <c r="E159" s="39"/>
      <c r="F159" s="7">
        <v>37850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6"/>
      <c r="B160" s="37"/>
      <c r="C160" s="38"/>
      <c r="D160" s="9"/>
      <c r="E160" s="39"/>
      <c r="F160" s="7">
        <v>25885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6"/>
      <c r="B161" s="37"/>
      <c r="C161" s="38"/>
      <c r="D161" s="9"/>
      <c r="E161" s="39"/>
      <c r="F161" s="7">
        <v>23380</v>
      </c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6"/>
      <c r="B162" s="37"/>
      <c r="C162" s="38"/>
      <c r="D162" s="9"/>
      <c r="E162" s="39"/>
      <c r="F162" s="7">
        <v>69720</v>
      </c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6"/>
      <c r="B163" s="37"/>
      <c r="C163" s="38"/>
      <c r="D163" s="9"/>
      <c r="E163" s="39"/>
      <c r="F163" s="7">
        <v>418200</v>
      </c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6"/>
      <c r="B164" s="37"/>
      <c r="C164" s="38"/>
      <c r="D164" s="9"/>
      <c r="E164" s="39"/>
      <c r="F164" s="7">
        <v>180000</v>
      </c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6"/>
      <c r="B165" s="37"/>
      <c r="C165" s="38"/>
      <c r="D165" s="9"/>
      <c r="E165" s="39"/>
      <c r="F165" s="7">
        <v>250750</v>
      </c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6"/>
      <c r="B166" s="37"/>
      <c r="C166" s="38"/>
      <c r="D166" s="9"/>
      <c r="E166" s="39"/>
      <c r="F166" s="7">
        <v>101239.95</v>
      </c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6"/>
      <c r="B167" s="37"/>
      <c r="C167" s="38"/>
      <c r="D167" s="9"/>
      <c r="E167" s="39"/>
      <c r="F167" s="7">
        <v>25000</v>
      </c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6"/>
      <c r="B168" s="37"/>
      <c r="C168" s="38"/>
      <c r="D168" s="9"/>
      <c r="E168" s="39"/>
      <c r="F168" s="7">
        <v>42930</v>
      </c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6"/>
      <c r="B169" s="37"/>
      <c r="C169" s="38"/>
      <c r="D169" s="9"/>
      <c r="E169" s="39"/>
      <c r="F169" s="7">
        <v>686000</v>
      </c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6"/>
      <c r="B170" s="37"/>
      <c r="C170" s="38"/>
      <c r="D170" s="9"/>
      <c r="E170" s="39"/>
      <c r="F170" s="7">
        <v>402541.45</v>
      </c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6"/>
      <c r="B171" s="37"/>
      <c r="C171" s="38"/>
      <c r="D171" s="9"/>
      <c r="E171" s="39"/>
      <c r="F171" s="7">
        <v>309000</v>
      </c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6"/>
      <c r="B172" s="37"/>
      <c r="C172" s="38"/>
      <c r="D172" s="9"/>
      <c r="E172" s="39"/>
      <c r="F172" s="7">
        <v>44949</v>
      </c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6"/>
      <c r="B173" s="37"/>
      <c r="C173" s="38"/>
      <c r="D173" s="9"/>
      <c r="E173" s="39"/>
      <c r="F173" s="7">
        <v>5150</v>
      </c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6"/>
      <c r="B174" s="37"/>
      <c r="C174" s="38"/>
      <c r="D174" s="9"/>
      <c r="E174" s="39"/>
      <c r="F174" s="7">
        <v>7750</v>
      </c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6"/>
      <c r="B175" s="37"/>
      <c r="C175" s="38"/>
      <c r="D175" s="9"/>
      <c r="E175" s="39"/>
      <c r="F175" s="7">
        <v>9735</v>
      </c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6"/>
      <c r="B176" s="37"/>
      <c r="C176" s="38"/>
      <c r="D176" s="9"/>
      <c r="E176" s="39"/>
      <c r="F176" s="7">
        <v>7785</v>
      </c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6"/>
      <c r="B177" s="37"/>
      <c r="C177" s="38"/>
      <c r="D177" s="9"/>
      <c r="E177" s="39"/>
      <c r="F177" s="7">
        <v>1500</v>
      </c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6"/>
      <c r="B178" s="37"/>
      <c r="C178" s="38"/>
      <c r="D178" s="9"/>
      <c r="E178" s="39"/>
      <c r="F178" s="7">
        <v>20255</v>
      </c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6"/>
      <c r="B179" s="37"/>
      <c r="C179" s="38"/>
      <c r="D179" s="9"/>
      <c r="E179" s="39"/>
      <c r="F179" s="7">
        <v>10920</v>
      </c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6"/>
      <c r="B180" s="37"/>
      <c r="C180" s="38"/>
      <c r="D180" s="9"/>
      <c r="E180" s="39"/>
      <c r="F180" s="7">
        <v>40165</v>
      </c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6"/>
      <c r="B181" s="37"/>
      <c r="C181" s="38"/>
      <c r="D181" s="9"/>
      <c r="E181" s="39"/>
      <c r="F181" s="7">
        <v>1138700</v>
      </c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6"/>
      <c r="B182" s="37"/>
      <c r="C182" s="38"/>
      <c r="D182" s="9"/>
      <c r="E182" s="39"/>
      <c r="F182" s="7">
        <v>313737.49</v>
      </c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6"/>
      <c r="B183" s="37"/>
      <c r="C183" s="38"/>
      <c r="D183" s="9"/>
      <c r="E183" s="39"/>
      <c r="F183" s="7">
        <v>14400</v>
      </c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6"/>
      <c r="B184" s="37"/>
      <c r="C184" s="38"/>
      <c r="D184" s="9"/>
      <c r="E184" s="39"/>
      <c r="F184" s="7">
        <v>31500</v>
      </c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6"/>
      <c r="B185" s="37"/>
      <c r="C185" s="38"/>
      <c r="D185" s="9"/>
      <c r="E185" s="39"/>
      <c r="F185" s="7">
        <v>15000</v>
      </c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6"/>
      <c r="B186" s="37"/>
      <c r="C186" s="38"/>
      <c r="D186" s="9"/>
      <c r="E186" s="39"/>
      <c r="F186" s="7">
        <v>20950</v>
      </c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6"/>
      <c r="B187" s="37"/>
      <c r="C187" s="38"/>
      <c r="D187" s="9"/>
      <c r="E187" s="39"/>
      <c r="F187" s="7">
        <v>25644.600000000002</v>
      </c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6"/>
      <c r="B188" s="37"/>
      <c r="C188" s="38"/>
      <c r="D188" s="9"/>
      <c r="E188" s="39"/>
      <c r="F188" s="7">
        <v>21535</v>
      </c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6"/>
      <c r="B189" s="37"/>
      <c r="C189" s="38"/>
      <c r="D189" s="9"/>
      <c r="E189" s="39"/>
      <c r="F189" s="7">
        <v>7100</v>
      </c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6"/>
      <c r="B190" s="37"/>
      <c r="C190" s="38"/>
      <c r="D190" s="9"/>
      <c r="E190" s="39"/>
      <c r="F190" s="7">
        <v>18910</v>
      </c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6"/>
      <c r="B191" s="37"/>
      <c r="C191" s="38"/>
      <c r="D191" s="9"/>
      <c r="E191" s="39"/>
      <c r="F191" s="7">
        <v>8625</v>
      </c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6"/>
      <c r="B192" s="37"/>
      <c r="C192" s="38"/>
      <c r="D192" s="9"/>
      <c r="E192" s="39"/>
      <c r="F192" s="7">
        <v>9645</v>
      </c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6"/>
      <c r="B193" s="37"/>
      <c r="C193" s="38"/>
      <c r="D193" s="9"/>
      <c r="E193" s="39"/>
      <c r="F193" s="7">
        <v>9300</v>
      </c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6"/>
      <c r="B194" s="37"/>
      <c r="C194" s="38"/>
      <c r="D194" s="9"/>
      <c r="E194" s="39"/>
      <c r="F194" s="7">
        <v>12995</v>
      </c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6"/>
      <c r="B195" s="37"/>
      <c r="C195" s="38"/>
      <c r="D195" s="9"/>
      <c r="E195" s="39"/>
      <c r="F195" s="7">
        <v>17385</v>
      </c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6"/>
      <c r="B196" s="37"/>
      <c r="C196" s="38"/>
      <c r="D196" s="9"/>
      <c r="E196" s="39"/>
      <c r="F196" s="7">
        <v>6495</v>
      </c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6"/>
      <c r="B197" s="37"/>
      <c r="C197" s="38"/>
      <c r="D197" s="9"/>
      <c r="E197" s="39"/>
      <c r="F197" s="7">
        <v>3850</v>
      </c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6"/>
      <c r="B198" s="37"/>
      <c r="C198" s="38"/>
      <c r="D198" s="9"/>
      <c r="E198" s="39"/>
      <c r="F198" s="7">
        <v>800</v>
      </c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6"/>
      <c r="B199" s="37"/>
      <c r="C199" s="38"/>
      <c r="D199" s="9"/>
      <c r="E199" s="39"/>
      <c r="F199" s="7">
        <v>593085.18</v>
      </c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6"/>
      <c r="B200" s="37"/>
      <c r="C200" s="38"/>
      <c r="D200" s="9"/>
      <c r="E200" s="39"/>
      <c r="F200" s="7">
        <v>61500</v>
      </c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36"/>
      <c r="B201" s="35"/>
      <c r="C201" s="9"/>
      <c r="D201" s="9"/>
      <c r="E201" s="39"/>
      <c r="F201" s="7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>
      <c r="A202" s="36"/>
      <c r="B202" s="35"/>
      <c r="C202" s="9"/>
      <c r="D202" s="9"/>
      <c r="E202" s="39"/>
      <c r="F202" s="7"/>
      <c r="G202" s="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>
      <c r="A203" s="36"/>
      <c r="B203" s="35"/>
      <c r="C203" s="9"/>
      <c r="D203" s="9"/>
      <c r="E203" s="39"/>
      <c r="F203" s="7"/>
      <c r="G203" s="7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6" ht="15">
      <c r="A204" s="36"/>
      <c r="B204" s="37"/>
      <c r="C204" s="38"/>
      <c r="D204" s="40"/>
      <c r="E204" s="40"/>
      <c r="F204" s="41"/>
    </row>
    <row r="205" spans="1:6" ht="15">
      <c r="A205" s="36"/>
      <c r="B205" s="37"/>
      <c r="C205" s="38"/>
      <c r="D205" s="40"/>
      <c r="E205" s="40"/>
      <c r="F205" s="41"/>
    </row>
    <row r="206" spans="1:6" ht="15">
      <c r="A206" s="36"/>
      <c r="B206" s="37"/>
      <c r="C206" s="38"/>
      <c r="D206" s="40"/>
      <c r="E206" s="40"/>
      <c r="F206" s="41"/>
    </row>
    <row r="207" spans="1:6" ht="15">
      <c r="A207" s="36"/>
      <c r="B207" s="37"/>
      <c r="C207" s="38"/>
      <c r="D207" s="40"/>
      <c r="E207" s="40"/>
      <c r="F207" s="41"/>
    </row>
    <row r="208" spans="1:6" ht="15">
      <c r="A208" s="36"/>
      <c r="B208" s="37"/>
      <c r="C208" s="38"/>
      <c r="D208" s="40"/>
      <c r="E208" s="40"/>
      <c r="F208" s="41"/>
    </row>
    <row r="209" spans="1:6" ht="15">
      <c r="A209" s="36"/>
      <c r="B209" s="37"/>
      <c r="C209" s="38"/>
      <c r="D209" s="40"/>
      <c r="E209" s="40"/>
      <c r="F209" s="41"/>
    </row>
    <row r="210" spans="1:6" ht="15">
      <c r="A210" s="36"/>
      <c r="B210" s="37"/>
      <c r="C210" s="38"/>
      <c r="D210" s="40"/>
      <c r="E210" s="40"/>
      <c r="F210" s="41"/>
    </row>
    <row r="211" spans="1:6" ht="15">
      <c r="A211" s="36"/>
      <c r="B211" s="37"/>
      <c r="C211" s="38"/>
      <c r="D211" s="40"/>
      <c r="E211" s="40"/>
      <c r="F211" s="41"/>
    </row>
    <row r="212" spans="1:6" ht="15">
      <c r="A212" s="36"/>
      <c r="B212" s="37"/>
      <c r="C212" s="38"/>
      <c r="D212" s="40"/>
      <c r="E212" s="40"/>
      <c r="F212" s="41"/>
    </row>
    <row r="213" spans="1:6" ht="15">
      <c r="A213" s="36"/>
      <c r="B213" s="37"/>
      <c r="C213" s="38"/>
      <c r="D213" s="40"/>
      <c r="E213" s="40"/>
      <c r="F213" s="41"/>
    </row>
    <row r="214" spans="1:6" ht="15">
      <c r="A214" s="36"/>
      <c r="B214" s="37"/>
      <c r="C214" s="38"/>
      <c r="D214" s="40"/>
      <c r="E214" s="40"/>
      <c r="F214" s="41"/>
    </row>
    <row r="215" spans="1:6" ht="15">
      <c r="A215" s="36"/>
      <c r="B215" s="37"/>
      <c r="C215" s="38"/>
      <c r="D215" s="40"/>
      <c r="E215" s="40"/>
      <c r="F215" s="41"/>
    </row>
    <row r="216" spans="1:6" ht="15">
      <c r="A216" s="36"/>
      <c r="B216" s="37"/>
      <c r="C216" s="38"/>
      <c r="D216" s="40"/>
      <c r="E216" s="40"/>
      <c r="F216" s="41"/>
    </row>
    <row r="217" spans="1:6" ht="15">
      <c r="A217" s="36"/>
      <c r="B217" s="37"/>
      <c r="C217" s="38"/>
      <c r="D217" s="40"/>
      <c r="E217" s="40"/>
      <c r="F217" s="41"/>
    </row>
    <row r="218" spans="1:6" ht="15">
      <c r="A218" s="36"/>
      <c r="B218" s="37"/>
      <c r="C218" s="38"/>
      <c r="D218" s="40"/>
      <c r="E218" s="40"/>
      <c r="F218" s="41"/>
    </row>
    <row r="219" spans="1:6" ht="15">
      <c r="A219" s="36"/>
      <c r="B219" s="37"/>
      <c r="C219" s="38"/>
      <c r="D219" s="40"/>
      <c r="E219" s="40"/>
      <c r="F219" s="41"/>
    </row>
    <row r="220" spans="1:6" ht="15">
      <c r="A220" s="36"/>
      <c r="B220" s="37"/>
      <c r="C220" s="38"/>
      <c r="D220" s="40"/>
      <c r="E220" s="40"/>
      <c r="F220" s="41"/>
    </row>
    <row r="221" spans="1:6" ht="15">
      <c r="A221" s="36"/>
      <c r="B221" s="37"/>
      <c r="C221" s="38"/>
      <c r="D221" s="40"/>
      <c r="E221" s="40"/>
      <c r="F221" s="41"/>
    </row>
    <row r="222" spans="1:6" ht="15">
      <c r="A222" s="36"/>
      <c r="B222" s="37"/>
      <c r="C222" s="38"/>
      <c r="D222" s="40"/>
      <c r="E222" s="40"/>
      <c r="F222" s="41"/>
    </row>
    <row r="223" spans="1:6" ht="15">
      <c r="A223" s="36"/>
      <c r="B223" s="37"/>
      <c r="C223" s="38"/>
      <c r="D223" s="40"/>
      <c r="E223" s="40"/>
      <c r="F223" s="41"/>
    </row>
    <row r="224" spans="1:6" ht="15">
      <c r="A224" s="36"/>
      <c r="B224" s="37"/>
      <c r="C224" s="38"/>
      <c r="D224" s="40"/>
      <c r="E224" s="40"/>
      <c r="F224" s="41"/>
    </row>
    <row r="225" spans="1:6" ht="15">
      <c r="A225" s="36"/>
      <c r="B225" s="37"/>
      <c r="C225" s="38"/>
      <c r="D225" s="40"/>
      <c r="E225" s="40"/>
      <c r="F225" s="41"/>
    </row>
    <row r="226" spans="1:6" ht="15">
      <c r="A226" s="36"/>
      <c r="B226" s="37"/>
      <c r="C226" s="38"/>
      <c r="D226" s="40"/>
      <c r="E226" s="40"/>
      <c r="F226" s="41"/>
    </row>
    <row r="227" spans="1:6" ht="15">
      <c r="A227" s="36"/>
      <c r="B227" s="37"/>
      <c r="C227" s="38"/>
      <c r="D227" s="40"/>
      <c r="E227" s="40"/>
      <c r="F227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2017-07-10T14:03:58Z</cp:lastPrinted>
  <dcterms:created xsi:type="dcterms:W3CDTF">2013-03-07T15:00:21Z</dcterms:created>
  <dcterms:modified xsi:type="dcterms:W3CDTF">2017-08-01T15:52:26Z</dcterms:modified>
  <cp:category/>
  <cp:version/>
  <cp:contentType/>
  <cp:contentStatus/>
</cp:coreProperties>
</file>